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C:\Users\tmoffitt\AppData\Local\Microsoft\Windows\INetCache\Content.Outlook\6FKOUCQC\"/>
    </mc:Choice>
  </mc:AlternateContent>
  <xr:revisionPtr revIDLastSave="0" documentId="13_ncr:1_{70BD75B8-003F-463A-878C-C7BAE521B8A6}" xr6:coauthVersionLast="47" xr6:coauthVersionMax="47" xr10:uidLastSave="{00000000-0000-0000-0000-000000000000}"/>
  <bookViews>
    <workbookView xWindow="57480" yWindow="-120" windowWidth="29040" windowHeight="15840" tabRatio="846" xr2:uid="{3AFED351-A377-40C8-B3FC-A7C1E57866E1}"/>
  </bookViews>
  <sheets>
    <sheet name="Lead Sheet" sheetId="13" r:id="rId1"/>
    <sheet name="FY19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3" sheetId="7" r:id="rId9"/>
    <sheet name="Table 4" sheetId="8" r:id="rId10"/>
    <sheet name="Table 6" sheetId="12" state="hidden" r:id="rId11"/>
    <sheet name="Table 5" sheetId="9"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8">#REF!</definedName>
    <definedName name="_sa1" localSheetId="9">#REF!</definedName>
    <definedName name="_sa1" localSheetId="11">#REF!</definedName>
    <definedName name="_sa1" localSheetId="10">#REF!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8">'[1]REV NONMAJOR'!#REF!</definedName>
    <definedName name="admin" localSheetId="9">'[1]REV NONMAJOR'!#REF!</definedName>
    <definedName name="admin" localSheetId="11">'[1]REV NONMAJOR'!#REF!</definedName>
    <definedName name="admin" localSheetId="10">'[1]REV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8">#REF!</definedName>
    <definedName name="bal" localSheetId="9">#REF!</definedName>
    <definedName name="bal" localSheetId="11">#REF!</definedName>
    <definedName name="bal" localSheetId="10">#REF!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8">'[1]201'!#REF!</definedName>
    <definedName name="basic" localSheetId="9">'[1]201'!#REF!</definedName>
    <definedName name="basic" localSheetId="11">'[1]201'!#REF!</definedName>
    <definedName name="basic" localSheetId="10">'[1]201'!#REF!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8">'[1]201'!#REF!</definedName>
    <definedName name="bbasic" localSheetId="9">'[1]201'!#REF!</definedName>
    <definedName name="bbasic" localSheetId="11">'[1]201'!#REF!</definedName>
    <definedName name="bbasic" localSheetId="10">'[1]201'!#REF!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8">#REF!</definedName>
    <definedName name="bbegbal" localSheetId="9">#REF!</definedName>
    <definedName name="bbegbal" localSheetId="11">#REF!</definedName>
    <definedName name="bbegbal" localSheetId="10">#REF!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8">#REF!</definedName>
    <definedName name="bcapital" localSheetId="9">#REF!</definedName>
    <definedName name="bcapital" localSheetId="11">#REF!</definedName>
    <definedName name="bcapital" localSheetId="10">#REF!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8">#REF!</definedName>
    <definedName name="bcomm" localSheetId="9">#REF!</definedName>
    <definedName name="bcomm" localSheetId="11">#REF!</definedName>
    <definedName name="bcomm" localSheetId="10">#REF!</definedName>
    <definedName name="bcomm">#REF!</definedName>
    <definedName name="BCOMMUNITY" localSheetId="13">#REF!</definedName>
    <definedName name="BCOMMUNITY" localSheetId="6">#REF!</definedName>
    <definedName name="BCOMMUNITY" localSheetId="7">#REF!</definedName>
    <definedName name="BCOMMUNITY" localSheetId="8">#REF!</definedName>
    <definedName name="BCOMMUNITY" localSheetId="9">#REF!</definedName>
    <definedName name="BCOMMUNITY" localSheetId="11">#REF!</definedName>
    <definedName name="BCOMMUNITY" localSheetId="10">#REF!</definedName>
    <definedName name="BCOMMUNITY">#REF!</definedName>
    <definedName name="bcont" localSheetId="13">#REF!</definedName>
    <definedName name="bcont" localSheetId="6">#REF!</definedName>
    <definedName name="bcont" localSheetId="7">#REF!</definedName>
    <definedName name="bcont" localSheetId="8">#REF!</definedName>
    <definedName name="bcont" localSheetId="9">#REF!</definedName>
    <definedName name="bcont" localSheetId="11">#REF!</definedName>
    <definedName name="bcont" localSheetId="10">#REF!</definedName>
    <definedName name="bcont">#REF!</definedName>
    <definedName name="bcontingency" localSheetId="13">#REF!</definedName>
    <definedName name="bcontingency" localSheetId="6">#REF!</definedName>
    <definedName name="bcontingency" localSheetId="7">#REF!</definedName>
    <definedName name="bcontingency" localSheetId="8">#REF!</definedName>
    <definedName name="bcontingency" localSheetId="9">#REF!</definedName>
    <definedName name="bcontingency" localSheetId="11">#REF!</definedName>
    <definedName name="bcontingency" localSheetId="10">#REF!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8">[1]GFREV!#REF!</definedName>
    <definedName name="BCONTRIBUTIONS" localSheetId="9">[1]GFREV!#REF!</definedName>
    <definedName name="BCONTRIBUTIONS" localSheetId="11">[1]GFREV!#REF!</definedName>
    <definedName name="BCONTRIBUTIONS" localSheetId="10">[1]GFREV!#REF!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8">#REF!</definedName>
    <definedName name="bdebt" localSheetId="9">#REF!</definedName>
    <definedName name="bdebt" localSheetId="11">#REF!</definedName>
    <definedName name="bdebt" localSheetId="10">#REF!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8">#REF!</definedName>
    <definedName name="BDEBTSERVICE" localSheetId="9">#REF!</definedName>
    <definedName name="BDEBTSERVICE" localSheetId="11">#REF!</definedName>
    <definedName name="BDEBTSERVICE" localSheetId="10">#REF!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8">#REF!</definedName>
    <definedName name="bds" localSheetId="9">#REF!</definedName>
    <definedName name="bds" localSheetId="11">#REF!</definedName>
    <definedName name="bds" localSheetId="10">#REF!</definedName>
    <definedName name="bds">#REF!</definedName>
    <definedName name="bearn" localSheetId="13">#REF!</definedName>
    <definedName name="bearn" localSheetId="6">#REF!</definedName>
    <definedName name="bearn" localSheetId="7">#REF!</definedName>
    <definedName name="bearn" localSheetId="8">#REF!</definedName>
    <definedName name="bearn" localSheetId="9">#REF!</definedName>
    <definedName name="bearn" localSheetId="11">#REF!</definedName>
    <definedName name="bearn" localSheetId="10">#REF!</definedName>
    <definedName name="bearn">#REF!</definedName>
    <definedName name="bearnings" localSheetId="13">#REF!</definedName>
    <definedName name="bearnings" localSheetId="6">#REF!</definedName>
    <definedName name="bearnings" localSheetId="7">#REF!</definedName>
    <definedName name="bearnings" localSheetId="8">#REF!</definedName>
    <definedName name="bearnings" localSheetId="9">#REF!</definedName>
    <definedName name="bearnings" localSheetId="11">#REF!</definedName>
    <definedName name="bearnings" localSheetId="10">#REF!</definedName>
    <definedName name="bearnings">#REF!</definedName>
    <definedName name="begbal" localSheetId="13">#REF!</definedName>
    <definedName name="begbal" localSheetId="6">#REF!</definedName>
    <definedName name="begbal" localSheetId="7">#REF!</definedName>
    <definedName name="begbal" localSheetId="8">#REF!</definedName>
    <definedName name="begbal" localSheetId="9">#REF!</definedName>
    <definedName name="begbal" localSheetId="11">#REF!</definedName>
    <definedName name="begbal" localSheetId="10">#REF!</definedName>
    <definedName name="begbal">#REF!</definedName>
    <definedName name="BEGEQUITY" localSheetId="13">#REF!</definedName>
    <definedName name="BEGEQUITY" localSheetId="6">#REF!</definedName>
    <definedName name="BEGEQUITY" localSheetId="7">#REF!</definedName>
    <definedName name="BEGEQUITY" localSheetId="8">#REF!</definedName>
    <definedName name="BEGEQUITY" localSheetId="9">#REF!</definedName>
    <definedName name="BEGEQUITY" localSheetId="11">#REF!</definedName>
    <definedName name="BEGEQUITY" localSheetId="10">#REF!</definedName>
    <definedName name="BEGEQUITY">#REF!</definedName>
    <definedName name="bendbal" localSheetId="13">#REF!</definedName>
    <definedName name="bendbal" localSheetId="6">#REF!</definedName>
    <definedName name="bendbal" localSheetId="7">#REF!</definedName>
    <definedName name="bendbal" localSheetId="8">#REF!</definedName>
    <definedName name="bendbal" localSheetId="9">#REF!</definedName>
    <definedName name="bendbal" localSheetId="11">#REF!</definedName>
    <definedName name="bendbal" localSheetId="10">#REF!</definedName>
    <definedName name="bendbal">#REF!</definedName>
    <definedName name="bexcess" localSheetId="13">#REF!</definedName>
    <definedName name="bexcess" localSheetId="6">#REF!</definedName>
    <definedName name="bexcess" localSheetId="7">#REF!</definedName>
    <definedName name="bexcess" localSheetId="8">#REF!</definedName>
    <definedName name="bexcess" localSheetId="9">#REF!</definedName>
    <definedName name="bexcess" localSheetId="11">#REF!</definedName>
    <definedName name="bexcess" localSheetId="10">#REF!</definedName>
    <definedName name="bexcess">#REF!</definedName>
    <definedName name="bfed" localSheetId="13">#REF!</definedName>
    <definedName name="bfed" localSheetId="6">#REF!</definedName>
    <definedName name="bfed" localSheetId="7">#REF!</definedName>
    <definedName name="bfed" localSheetId="8">#REF!</definedName>
    <definedName name="bfed" localSheetId="9">#REF!</definedName>
    <definedName name="bfed" localSheetId="11">#REF!</definedName>
    <definedName name="bfed" localSheetId="10">#REF!</definedName>
    <definedName name="bfed">#REF!</definedName>
    <definedName name="bfederal" localSheetId="13">#REF!</definedName>
    <definedName name="bfederal" localSheetId="6">#REF!</definedName>
    <definedName name="bfederal" localSheetId="7">#REF!</definedName>
    <definedName name="bfederal" localSheetId="8">#REF!</definedName>
    <definedName name="bfederal" localSheetId="9">#REF!</definedName>
    <definedName name="bfederal" localSheetId="11">#REF!</definedName>
    <definedName name="bfederal" localSheetId="10">#REF!</definedName>
    <definedName name="bfederal">#REF!</definedName>
    <definedName name="bfedrev" localSheetId="13">#REF!</definedName>
    <definedName name="bfedrev" localSheetId="6">#REF!</definedName>
    <definedName name="bfedrev" localSheetId="7">#REF!</definedName>
    <definedName name="bfedrev" localSheetId="8">#REF!</definedName>
    <definedName name="bfedrev" localSheetId="9">#REF!</definedName>
    <definedName name="bfedrev" localSheetId="11">#REF!</definedName>
    <definedName name="bfedrev" localSheetId="10">#REF!</definedName>
    <definedName name="bfedrev">#REF!</definedName>
    <definedName name="binstr" localSheetId="13">#REF!</definedName>
    <definedName name="binstr" localSheetId="6">#REF!</definedName>
    <definedName name="binstr" localSheetId="7">#REF!</definedName>
    <definedName name="binstr" localSheetId="8">#REF!</definedName>
    <definedName name="binstr" localSheetId="9">#REF!</definedName>
    <definedName name="binstr" localSheetId="11">#REF!</definedName>
    <definedName name="binstr" localSheetId="10">#REF!</definedName>
    <definedName name="binstr">#REF!</definedName>
    <definedName name="binstruction" localSheetId="13">#REF!</definedName>
    <definedName name="binstruction" localSheetId="6">#REF!</definedName>
    <definedName name="binstruction" localSheetId="7">#REF!</definedName>
    <definedName name="binstruction" localSheetId="8">#REF!</definedName>
    <definedName name="binstruction" localSheetId="9">#REF!</definedName>
    <definedName name="binstruction" localSheetId="11">#REF!</definedName>
    <definedName name="binstruction" localSheetId="10">#REF!</definedName>
    <definedName name="binstruction">#REF!</definedName>
    <definedName name="binterest" localSheetId="13">#REF!</definedName>
    <definedName name="binterest" localSheetId="6">#REF!</definedName>
    <definedName name="binterest" localSheetId="7">#REF!</definedName>
    <definedName name="binterest" localSheetId="8">#REF!</definedName>
    <definedName name="binterest" localSheetId="9">#REF!</definedName>
    <definedName name="binterest" localSheetId="11">#REF!</definedName>
    <definedName name="binterest" localSheetId="10">#REF!</definedName>
    <definedName name="binterest">#REF!</definedName>
    <definedName name="bintermed" localSheetId="13">#REF!</definedName>
    <definedName name="bintermed" localSheetId="6">#REF!</definedName>
    <definedName name="bintermed" localSheetId="7">#REF!</definedName>
    <definedName name="bintermed" localSheetId="8">#REF!</definedName>
    <definedName name="bintermed" localSheetId="9">#REF!</definedName>
    <definedName name="bintermed" localSheetId="11">#REF!</definedName>
    <definedName name="bintermed" localSheetId="10">#REF!</definedName>
    <definedName name="bintermed">#REF!</definedName>
    <definedName name="BLAND" localSheetId="13">[1]GFREV!#REF!</definedName>
    <definedName name="BLAND" localSheetId="6">[1]GFREV!#REF!</definedName>
    <definedName name="BLAND" localSheetId="7">[1]GFREV!#REF!</definedName>
    <definedName name="BLAND" localSheetId="8">[1]GFREV!#REF!</definedName>
    <definedName name="BLAND" localSheetId="9">[1]GFREV!#REF!</definedName>
    <definedName name="BLAND" localSheetId="11">[1]GFREV!#REF!</definedName>
    <definedName name="BLAND" localSheetId="10">[1]GFREV!#REF!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8">#REF!</definedName>
    <definedName name="bleasepurch" localSheetId="9">#REF!</definedName>
    <definedName name="bleasepurch" localSheetId="11">#REF!</definedName>
    <definedName name="bleasepurch" localSheetId="10">#REF!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8">#REF!</definedName>
    <definedName name="bmisc" localSheetId="9">#REF!</definedName>
    <definedName name="bmisc" localSheetId="11">#REF!</definedName>
    <definedName name="bmisc" localSheetId="10">#REF!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8">'[1]201'!#REF!</definedName>
    <definedName name="bnslp" localSheetId="9">'[1]201'!#REF!</definedName>
    <definedName name="bnslp" localSheetId="11">'[1]201'!#REF!</definedName>
    <definedName name="bnslp" localSheetId="10">'[1]201'!#REF!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8">#REF!</definedName>
    <definedName name="bother" localSheetId="9">#REF!</definedName>
    <definedName name="bother" localSheetId="11">#REF!</definedName>
    <definedName name="bother" localSheetId="10">#REF!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8">#REF!</definedName>
    <definedName name="brevenue" localSheetId="9">#REF!</definedName>
    <definedName name="brevenue" localSheetId="11">#REF!</definedName>
    <definedName name="brevenue" localSheetId="10">#REF!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8">#REF!</definedName>
    <definedName name="bsale" localSheetId="9">#REF!</definedName>
    <definedName name="bsale" localSheetId="11">#REF!</definedName>
    <definedName name="bsale" localSheetId="10">#REF!</definedName>
    <definedName name="bsale">#REF!</definedName>
    <definedName name="bstate" localSheetId="13">#REF!</definedName>
    <definedName name="bstate" localSheetId="6">#REF!</definedName>
    <definedName name="bstate" localSheetId="7">#REF!</definedName>
    <definedName name="bstate" localSheetId="8">#REF!</definedName>
    <definedName name="bstate" localSheetId="9">#REF!</definedName>
    <definedName name="bstate" localSheetId="11">#REF!</definedName>
    <definedName name="bstate" localSheetId="10">#REF!</definedName>
    <definedName name="bstate">#REF!</definedName>
    <definedName name="bsup" localSheetId="13">#REF!</definedName>
    <definedName name="bsup" localSheetId="6">#REF!</definedName>
    <definedName name="bsup" localSheetId="7">#REF!</definedName>
    <definedName name="bsup" localSheetId="8">#REF!</definedName>
    <definedName name="bsup" localSheetId="9">#REF!</definedName>
    <definedName name="bsup" localSheetId="11">#REF!</definedName>
    <definedName name="bsup" localSheetId="10">#REF!</definedName>
    <definedName name="bsup">#REF!</definedName>
    <definedName name="bsupp" localSheetId="13">#REF!</definedName>
    <definedName name="bsupp" localSheetId="6">#REF!</definedName>
    <definedName name="bsupp" localSheetId="7">#REF!</definedName>
    <definedName name="bsupp" localSheetId="8">#REF!</definedName>
    <definedName name="bsupp" localSheetId="9">#REF!</definedName>
    <definedName name="bsupp" localSheetId="11">#REF!</definedName>
    <definedName name="bsupp" localSheetId="10">#REF!</definedName>
    <definedName name="bsupp">#REF!</definedName>
    <definedName name="BSUPPCAP" localSheetId="13">#REF!</definedName>
    <definedName name="BSUPPCAP" localSheetId="6">#REF!</definedName>
    <definedName name="BSUPPCAP" localSheetId="7">#REF!</definedName>
    <definedName name="BSUPPCAP" localSheetId="8">#REF!</definedName>
    <definedName name="BSUPPCAP" localSheetId="9">#REF!</definedName>
    <definedName name="BSUPPCAP" localSheetId="11">#REF!</definedName>
    <definedName name="BSUPPCAP" localSheetId="10">#REF!</definedName>
    <definedName name="BSUPPCAP">#REF!</definedName>
    <definedName name="bsupport" localSheetId="13">#REF!</definedName>
    <definedName name="bsupport" localSheetId="6">#REF!</definedName>
    <definedName name="bsupport" localSheetId="7">#REF!</definedName>
    <definedName name="bsupport" localSheetId="8">#REF!</definedName>
    <definedName name="bsupport" localSheetId="9">#REF!</definedName>
    <definedName name="bsupport" localSheetId="11">#REF!</definedName>
    <definedName name="bsupport" localSheetId="10">#REF!</definedName>
    <definedName name="bsupport">#REF!</definedName>
    <definedName name="btaxes" localSheetId="13">#REF!</definedName>
    <definedName name="btaxes" localSheetId="6">#REF!</definedName>
    <definedName name="btaxes" localSheetId="7">#REF!</definedName>
    <definedName name="btaxes" localSheetId="8">#REF!</definedName>
    <definedName name="btaxes" localSheetId="9">#REF!</definedName>
    <definedName name="btaxes" localSheetId="11">#REF!</definedName>
    <definedName name="btaxes" localSheetId="10">#REF!</definedName>
    <definedName name="btaxes">#REF!</definedName>
    <definedName name="btrans" localSheetId="13">#REF!</definedName>
    <definedName name="btrans" localSheetId="6">#REF!</definedName>
    <definedName name="btrans" localSheetId="7">#REF!</definedName>
    <definedName name="btrans" localSheetId="8">#REF!</definedName>
    <definedName name="btrans" localSheetId="9">#REF!</definedName>
    <definedName name="btrans" localSheetId="11">#REF!</definedName>
    <definedName name="btrans" localSheetId="10">#REF!</definedName>
    <definedName name="btrans">#REF!</definedName>
    <definedName name="btransin" localSheetId="13">'[1]201'!#REF!</definedName>
    <definedName name="btransin" localSheetId="6">'[1]201'!#REF!</definedName>
    <definedName name="btransin" localSheetId="7">'[1]201'!#REF!</definedName>
    <definedName name="btransin" localSheetId="8">'[1]201'!#REF!</definedName>
    <definedName name="btransin" localSheetId="9">'[1]201'!#REF!</definedName>
    <definedName name="btransin" localSheetId="11">'[1]201'!#REF!</definedName>
    <definedName name="btransin" localSheetId="10">'[1]201'!#REF!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8">#REF!</definedName>
    <definedName name="btransout" localSheetId="9">#REF!</definedName>
    <definedName name="btransout" localSheetId="11">#REF!</definedName>
    <definedName name="btransout" localSheetId="10">#REF!</definedName>
    <definedName name="btransout">#REF!</definedName>
    <definedName name="BTUITION" localSheetId="13">[1]GFREV!#REF!</definedName>
    <definedName name="BTUITION" localSheetId="6">[1]GFREV!#REF!</definedName>
    <definedName name="BTUITION" localSheetId="7">[1]GFREV!#REF!</definedName>
    <definedName name="BTUITION" localSheetId="8">[1]GFREV!#REF!</definedName>
    <definedName name="BTUITION" localSheetId="9">[1]GFREV!#REF!</definedName>
    <definedName name="BTUITION" localSheetId="11">[1]GFREV!#REF!</definedName>
    <definedName name="BTUITION" localSheetId="10">[1]GFREV!#REF!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8">#REF!</definedName>
    <definedName name="BUDBEG" localSheetId="9">#REF!</definedName>
    <definedName name="BUDBEG" localSheetId="11">#REF!</definedName>
    <definedName name="BUDBEG" localSheetId="10">#REF!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8">#REF!</definedName>
    <definedName name="capital" localSheetId="9">#REF!</definedName>
    <definedName name="capital" localSheetId="11">#REF!</definedName>
    <definedName name="capital" localSheetId="10">#REF!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8">#REF!</definedName>
    <definedName name="caplease" localSheetId="9">#REF!</definedName>
    <definedName name="caplease" localSheetId="11">#REF!</definedName>
    <definedName name="caplease" localSheetId="10">#REF!</definedName>
    <definedName name="caplease">#REF!</definedName>
    <definedName name="capoutlay" localSheetId="13">#REF!</definedName>
    <definedName name="capoutlay" localSheetId="6">#REF!</definedName>
    <definedName name="capoutlay" localSheetId="7">#REF!</definedName>
    <definedName name="capoutlay" localSheetId="8">#REF!</definedName>
    <definedName name="capoutlay" localSheetId="9">#REF!</definedName>
    <definedName name="capoutlay" localSheetId="11">#REF!</definedName>
    <definedName name="capoutlay" localSheetId="10">#REF!</definedName>
    <definedName name="capoutlay">#REF!</definedName>
    <definedName name="CHANGE" localSheetId="13">#REF!</definedName>
    <definedName name="CHANGE" localSheetId="6">#REF!</definedName>
    <definedName name="CHANGE" localSheetId="7">#REF!</definedName>
    <definedName name="CHANGE" localSheetId="8">#REF!</definedName>
    <definedName name="CHANGE" localSheetId="9">#REF!</definedName>
    <definedName name="CHANGE" localSheetId="11">#REF!</definedName>
    <definedName name="CHANGE" localSheetId="10">#REF!</definedName>
    <definedName name="CHANGE">#REF!</definedName>
    <definedName name="CLS" localSheetId="13">#REF!</definedName>
    <definedName name="CLS" localSheetId="6">#REF!</definedName>
    <definedName name="CLS" localSheetId="7">#REF!</definedName>
    <definedName name="CLS" localSheetId="8">#REF!</definedName>
    <definedName name="CLS" localSheetId="9">#REF!</definedName>
    <definedName name="CLS" localSheetId="11">#REF!</definedName>
    <definedName name="CLS" localSheetId="10">#REF!</definedName>
    <definedName name="CLS">#REF!</definedName>
    <definedName name="comm" localSheetId="13">#REF!</definedName>
    <definedName name="comm" localSheetId="6">#REF!</definedName>
    <definedName name="comm" localSheetId="7">#REF!</definedName>
    <definedName name="comm" localSheetId="8">#REF!</definedName>
    <definedName name="comm" localSheetId="9">#REF!</definedName>
    <definedName name="comm" localSheetId="11">#REF!</definedName>
    <definedName name="comm" localSheetId="10">#REF!</definedName>
    <definedName name="comm">#REF!</definedName>
    <definedName name="COMMUNITY" localSheetId="13">#REF!</definedName>
    <definedName name="COMMUNITY" localSheetId="6">#REF!</definedName>
    <definedName name="COMMUNITY" localSheetId="7">#REF!</definedName>
    <definedName name="COMMUNITY" localSheetId="8">#REF!</definedName>
    <definedName name="COMMUNITY" localSheetId="9">#REF!</definedName>
    <definedName name="COMMUNITY" localSheetId="11">#REF!</definedName>
    <definedName name="COMMUNITY" localSheetId="10">#REF!</definedName>
    <definedName name="COMMUNITY">#REF!</definedName>
    <definedName name="cont" localSheetId="13">#REF!</definedName>
    <definedName name="cont" localSheetId="6">#REF!</definedName>
    <definedName name="cont" localSheetId="7">#REF!</definedName>
    <definedName name="cont" localSheetId="8">#REF!</definedName>
    <definedName name="cont" localSheetId="9">#REF!</definedName>
    <definedName name="cont" localSheetId="11">#REF!</definedName>
    <definedName name="cont" localSheetId="10">#REF!</definedName>
    <definedName name="cont">#REF!</definedName>
    <definedName name="contingency" localSheetId="13">#REF!</definedName>
    <definedName name="contingency" localSheetId="6">#REF!</definedName>
    <definedName name="contingency" localSheetId="7">#REF!</definedName>
    <definedName name="contingency" localSheetId="8">#REF!</definedName>
    <definedName name="contingency" localSheetId="9">#REF!</definedName>
    <definedName name="contingency" localSheetId="11">#REF!</definedName>
    <definedName name="contingency" localSheetId="10">#REF!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8">[1]GFREV!#REF!</definedName>
    <definedName name="CONTRIBUTIONS" localSheetId="9">[1]GFREV!#REF!</definedName>
    <definedName name="CONTRIBUTIONS" localSheetId="11">[1]GFREV!#REF!</definedName>
    <definedName name="CONTRIBUTIONS" localSheetId="10">[1]GFREV!#REF!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8">#REF!</definedName>
    <definedName name="debt" localSheetId="9">#REF!</definedName>
    <definedName name="debt" localSheetId="11">#REF!</definedName>
    <definedName name="debt" localSheetId="10">#REF!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8">#REF!</definedName>
    <definedName name="DEBTSERVICE" localSheetId="9">#REF!</definedName>
    <definedName name="DEBTSERVICE" localSheetId="11">#REF!</definedName>
    <definedName name="DEBTSERVICE" localSheetId="10">#REF!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8">#REF!</definedName>
    <definedName name="deferredcomp" localSheetId="9">#REF!</definedName>
    <definedName name="deferredcomp" localSheetId="11">#REF!</definedName>
    <definedName name="deferredcomp" localSheetId="10">#REF!</definedName>
    <definedName name="deferredcomp">#REF!</definedName>
    <definedName name="ds" localSheetId="13">#REF!</definedName>
    <definedName name="ds" localSheetId="6">#REF!</definedName>
    <definedName name="ds" localSheetId="7">#REF!</definedName>
    <definedName name="ds" localSheetId="8">#REF!</definedName>
    <definedName name="ds" localSheetId="9">#REF!</definedName>
    <definedName name="ds" localSheetId="11">#REF!</definedName>
    <definedName name="ds" localSheetId="10">#REF!</definedName>
    <definedName name="ds">#REF!</definedName>
    <definedName name="dueto" localSheetId="13">'[1]BS-NONMAJOR'!#REF!</definedName>
    <definedName name="dueto" localSheetId="6">'[1]BS-NONMAJOR'!#REF!</definedName>
    <definedName name="dueto" localSheetId="7">'[1]BS-NONMAJOR'!#REF!</definedName>
    <definedName name="dueto" localSheetId="8">'[1]BS-NONMAJOR'!#REF!</definedName>
    <definedName name="dueto" localSheetId="9">'[1]BS-NONMAJOR'!#REF!</definedName>
    <definedName name="dueto" localSheetId="11">'[1]BS-NONMAJOR'!#REF!</definedName>
    <definedName name="dueto" localSheetId="10">'[1]BS-NONMAJOR'!#REF!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8">#REF!</definedName>
    <definedName name="earn" localSheetId="9">#REF!</definedName>
    <definedName name="earn" localSheetId="11">#REF!</definedName>
    <definedName name="earn" localSheetId="10">#REF!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8">#REF!</definedName>
    <definedName name="earnings" localSheetId="9">#REF!</definedName>
    <definedName name="earnings" localSheetId="11">#REF!</definedName>
    <definedName name="earnings" localSheetId="10">#REF!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8">#REF!</definedName>
    <definedName name="endbal" localSheetId="9">#REF!</definedName>
    <definedName name="endbal" localSheetId="11">#REF!</definedName>
    <definedName name="endbal" localSheetId="10">#REF!</definedName>
    <definedName name="endbal">#REF!</definedName>
    <definedName name="ENDBALCAP" localSheetId="13">#REF!</definedName>
    <definedName name="ENDBALCAP" localSheetId="6">#REF!</definedName>
    <definedName name="ENDBALCAP" localSheetId="7">#REF!</definedName>
    <definedName name="ENDBALCAP" localSheetId="8">#REF!</definedName>
    <definedName name="ENDBALCAP" localSheetId="9">#REF!</definedName>
    <definedName name="ENDBALCAP" localSheetId="11">#REF!</definedName>
    <definedName name="ENDBALCAP" localSheetId="10">#REF!</definedName>
    <definedName name="ENDBALCAP">#REF!</definedName>
    <definedName name="excess" localSheetId="13">#REF!</definedName>
    <definedName name="excess" localSheetId="6">#REF!</definedName>
    <definedName name="excess" localSheetId="7">#REF!</definedName>
    <definedName name="excess" localSheetId="8">#REF!</definedName>
    <definedName name="excess" localSheetId="9">#REF!</definedName>
    <definedName name="excess" localSheetId="11">#REF!</definedName>
    <definedName name="excess" localSheetId="10">#REF!</definedName>
    <definedName name="excess">#REF!</definedName>
    <definedName name="fed" localSheetId="13">#REF!</definedName>
    <definedName name="fed" localSheetId="6">#REF!</definedName>
    <definedName name="fed" localSheetId="7">#REF!</definedName>
    <definedName name="fed" localSheetId="8">#REF!</definedName>
    <definedName name="fed" localSheetId="9">#REF!</definedName>
    <definedName name="fed" localSheetId="11">#REF!</definedName>
    <definedName name="fed" localSheetId="10">#REF!</definedName>
    <definedName name="fed">#REF!</definedName>
    <definedName name="federal" localSheetId="13">#REF!</definedName>
    <definedName name="federal" localSheetId="6">#REF!</definedName>
    <definedName name="federal" localSheetId="7">#REF!</definedName>
    <definedName name="federal" localSheetId="8">#REF!</definedName>
    <definedName name="federal" localSheetId="9">#REF!</definedName>
    <definedName name="federal" localSheetId="11">#REF!</definedName>
    <definedName name="federal" localSheetId="10">#REF!</definedName>
    <definedName name="federal">#REF!</definedName>
    <definedName name="fedrev" localSheetId="13">#REF!</definedName>
    <definedName name="fedrev" localSheetId="6">#REF!</definedName>
    <definedName name="fedrev" localSheetId="7">#REF!</definedName>
    <definedName name="fedrev" localSheetId="8">#REF!</definedName>
    <definedName name="fedrev" localSheetId="9">#REF!</definedName>
    <definedName name="fedrev" localSheetId="11">#REF!</definedName>
    <definedName name="fedrev" localSheetId="10">#REF!</definedName>
    <definedName name="fedrev">#REF!</definedName>
    <definedName name="gaapinst" localSheetId="13">#REF!</definedName>
    <definedName name="gaapinst" localSheetId="6">#REF!</definedName>
    <definedName name="gaapinst" localSheetId="7">#REF!</definedName>
    <definedName name="gaapinst" localSheetId="8">#REF!</definedName>
    <definedName name="gaapinst" localSheetId="9">#REF!</definedName>
    <definedName name="gaapinst" localSheetId="11">#REF!</definedName>
    <definedName name="gaapinst" localSheetId="10">#REF!</definedName>
    <definedName name="gaapinst">#REF!</definedName>
    <definedName name="GAAPINSTR" localSheetId="13">#REF!</definedName>
    <definedName name="GAAPINSTR" localSheetId="6">#REF!</definedName>
    <definedName name="GAAPINSTR" localSheetId="7">#REF!</definedName>
    <definedName name="GAAPINSTR" localSheetId="8">#REF!</definedName>
    <definedName name="GAAPINSTR" localSheetId="9">#REF!</definedName>
    <definedName name="GAAPINSTR" localSheetId="11">#REF!</definedName>
    <definedName name="GAAPINSTR" localSheetId="10">#REF!</definedName>
    <definedName name="GAAPINSTR">#REF!</definedName>
    <definedName name="GAAPSUPP" localSheetId="13">#REF!</definedName>
    <definedName name="GAAPSUPP" localSheetId="6">#REF!</definedName>
    <definedName name="GAAPSUPP" localSheetId="7">#REF!</definedName>
    <definedName name="GAAPSUPP" localSheetId="8">#REF!</definedName>
    <definedName name="GAAPSUPP" localSheetId="9">#REF!</definedName>
    <definedName name="GAAPSUPP" localSheetId="11">#REF!</definedName>
    <definedName name="GAAPSUPP" localSheetId="10">#REF!</definedName>
    <definedName name="GAAPSUPP">#REF!</definedName>
    <definedName name="gaapsupport" localSheetId="13">#REF!</definedName>
    <definedName name="gaapsupport" localSheetId="6">#REF!</definedName>
    <definedName name="gaapsupport" localSheetId="7">#REF!</definedName>
    <definedName name="gaapsupport" localSheetId="8">#REF!</definedName>
    <definedName name="gaapsupport" localSheetId="9">#REF!</definedName>
    <definedName name="gaapsupport" localSheetId="11">#REF!</definedName>
    <definedName name="gaapsupport" localSheetId="10">#REF!</definedName>
    <definedName name="gaapsupport">#REF!</definedName>
    <definedName name="GRANTS" localSheetId="13">'[1]BS-NONMAJOR'!#REF!</definedName>
    <definedName name="GRANTS" localSheetId="6">'[1]BS-NONMAJOR'!#REF!</definedName>
    <definedName name="GRANTS" localSheetId="7">'[1]BS-NONMAJOR'!#REF!</definedName>
    <definedName name="GRANTS" localSheetId="8">'[1]BS-NONMAJOR'!#REF!</definedName>
    <definedName name="GRANTS" localSheetId="9">'[1]BS-NONMAJOR'!#REF!</definedName>
    <definedName name="GRANTS" localSheetId="11">'[1]BS-NONMAJOR'!#REF!</definedName>
    <definedName name="GRANTS" localSheetId="10">'[1]BS-NONMAJOR'!#REF!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8">'[1]REV NONMAJOR'!#REF!</definedName>
    <definedName name="hhh" localSheetId="9">'[1]REV NONMAJOR'!#REF!</definedName>
    <definedName name="hhh" localSheetId="11">'[1]REV NONMAJOR'!#REF!</definedName>
    <definedName name="hhh" localSheetId="10">'[1]REV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8">#REF!</definedName>
    <definedName name="instr" localSheetId="9">#REF!</definedName>
    <definedName name="instr" localSheetId="11">#REF!</definedName>
    <definedName name="instr" localSheetId="10">#REF!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8">#REF!</definedName>
    <definedName name="instrcapital" localSheetId="9">#REF!</definedName>
    <definedName name="instrcapital" localSheetId="11">#REF!</definedName>
    <definedName name="instrcapital" localSheetId="10">#REF!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8">#REF!</definedName>
    <definedName name="instruction" localSheetId="9">#REF!</definedName>
    <definedName name="instruction" localSheetId="11">#REF!</definedName>
    <definedName name="instruction" localSheetId="10">#REF!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8">'[1]REV NONMAJOR'!#REF!</definedName>
    <definedName name="int" localSheetId="9">'[1]REV NONMAJOR'!#REF!</definedName>
    <definedName name="int" localSheetId="11">'[1]REV NONMAJOR'!#REF!</definedName>
    <definedName name="int" localSheetId="10">'[1]REV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8">#REF!</definedName>
    <definedName name="interest" localSheetId="9">#REF!</definedName>
    <definedName name="interest" localSheetId="11">#REF!</definedName>
    <definedName name="interest" localSheetId="10">#REF!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8">#REF!</definedName>
    <definedName name="intermed" localSheetId="9">#REF!</definedName>
    <definedName name="intermed" localSheetId="11">#REF!</definedName>
    <definedName name="intermed" localSheetId="10">#REF!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8">'[1]BS-NONMAJOR'!#REF!</definedName>
    <definedName name="inventory" localSheetId="9">'[1]BS-NONMAJOR'!#REF!</definedName>
    <definedName name="inventory" localSheetId="11">'[1]BS-NONMAJOR'!#REF!</definedName>
    <definedName name="inventory" localSheetId="10">'[1]BS-NONMAJOR'!#REF!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8">'[1]BS-NONMAJOR'!#REF!</definedName>
    <definedName name="invreserve" localSheetId="9">'[1]BS-NONMAJOR'!#REF!</definedName>
    <definedName name="invreserve" localSheetId="11">'[1]BS-NONMAJOR'!#REF!</definedName>
    <definedName name="invreserve" localSheetId="10">'[1]BS-NONMAJOR'!#REF!</definedName>
    <definedName name="invreserve">'[1]BS-NONMAJOR'!#REF!</definedName>
    <definedName name="LAND" localSheetId="13">[1]GFREV!#REF!</definedName>
    <definedName name="LAND" localSheetId="6">[1]GFREV!#REF!</definedName>
    <definedName name="LAND" localSheetId="7">[1]GFREV!#REF!</definedName>
    <definedName name="LAND" localSheetId="8">[1]GFREV!#REF!</definedName>
    <definedName name="LAND" localSheetId="9">[1]GFREV!#REF!</definedName>
    <definedName name="LAND" localSheetId="11">[1]GFREV!#REF!</definedName>
    <definedName name="LAND" localSheetId="10">[1]GFREV!#REF!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8">#REF!</definedName>
    <definedName name="leasepurch" localSheetId="9">#REF!</definedName>
    <definedName name="leasepurch" localSheetId="11">#REF!</definedName>
    <definedName name="leasepurch" localSheetId="10">#REF!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8">#REF!</definedName>
    <definedName name="misc" localSheetId="9">#REF!</definedName>
    <definedName name="misc" localSheetId="11">#REF!</definedName>
    <definedName name="misc" localSheetId="10">#REF!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8">'[1]REV NONMAJOR'!#REF!</definedName>
    <definedName name="newssales" localSheetId="9">'[1]REV NONMAJOR'!#REF!</definedName>
    <definedName name="newssales" localSheetId="11">'[1]REV NONMAJOR'!#REF!</definedName>
    <definedName name="newssales" localSheetId="10">'[1]REV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8">'[1]201'!#REF!</definedName>
    <definedName name="nslp" localSheetId="9">'[1]201'!#REF!</definedName>
    <definedName name="nslp" localSheetId="11">'[1]201'!#REF!</definedName>
    <definedName name="nslp" localSheetId="10">'[1]201'!#REF!</definedName>
    <definedName name="nslp">'[1]201'!#REF!</definedName>
    <definedName name="o" localSheetId="13">#REF!</definedName>
    <definedName name="o" localSheetId="12">#REF!</definedName>
    <definedName name="o" localSheetId="6">#REF!</definedName>
    <definedName name="o" localSheetId="7">#REF!</definedName>
    <definedName name="o" localSheetId="8">#REF!</definedName>
    <definedName name="o" localSheetId="9">#REF!</definedName>
    <definedName name="o" localSheetId="11">#REF!</definedName>
    <definedName name="o" localSheetId="10">#REF!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8">#REF!</definedName>
    <definedName name="other" localSheetId="9">#REF!</definedName>
    <definedName name="other" localSheetId="11">#REF!</definedName>
    <definedName name="other" localSheetId="10">#REF!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8">'[1]BS-NONMAJOR'!#REF!</definedName>
    <definedName name="prepaid" localSheetId="9">'[1]BS-NONMAJOR'!#REF!</definedName>
    <definedName name="prepaid" localSheetId="11">'[1]BS-NONMAJOR'!#REF!</definedName>
    <definedName name="prepaid" localSheetId="10">'[1]BS-NONMAJOR'!#REF!</definedName>
    <definedName name="prepaid">'[1]BS-NONMAJOR'!#REF!</definedName>
    <definedName name="_xlnm.Print_Area" localSheetId="4">'Change in proportionate Share'!$A$1:$F$41</definedName>
    <definedName name="_xlnm.Print_Area" localSheetId="3">'From PERS'!$A$1:$B$366</definedName>
    <definedName name="_xlnm.Print_Area" localSheetId="1">'FY19 Entries'!$A$1:$H$53</definedName>
    <definedName name="_xlnm.Print_Area" localSheetId="0">'Lead Sheet'!$A$1:$J$65</definedName>
    <definedName name="_xlnm.Print_Area" localSheetId="13">'RSI Schedule of Cont'!$A$1:$K$39</definedName>
    <definedName name="_xlnm.Print_Area" localSheetId="12">'RSI Schedule of Prop Share'!$A$1:$K$39</definedName>
    <definedName name="_xlnm.Print_Area" localSheetId="2">'State Schedule'!$A$1:$D$48</definedName>
    <definedName name="_xlnm.Print_Area" localSheetId="6">'Table 2'!$A$1:$AJ$25</definedName>
    <definedName name="_xlnm.Print_Area" localSheetId="8">'Table 3'!$A$1:$D$23</definedName>
    <definedName name="_xlnm.Print_Area" localSheetId="9">'Table 4'!$I$1:$M$25</definedName>
    <definedName name="reserve" localSheetId="13">#REF!</definedName>
    <definedName name="reserve" localSheetId="12">#REF!</definedName>
    <definedName name="reserve" localSheetId="6">#REF!</definedName>
    <definedName name="reserve" localSheetId="7">#REF!</definedName>
    <definedName name="reserve" localSheetId="8">#REF!</definedName>
    <definedName name="reserve" localSheetId="9">#REF!</definedName>
    <definedName name="reserve" localSheetId="11">#REF!</definedName>
    <definedName name="reserve" localSheetId="10">#REF!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8">#REF!</definedName>
    <definedName name="residual" localSheetId="9">#REF!</definedName>
    <definedName name="residual" localSheetId="11">#REF!</definedName>
    <definedName name="residual" localSheetId="10">#REF!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8">#REF!</definedName>
    <definedName name="revenue" localSheetId="9">#REF!</definedName>
    <definedName name="revenue" localSheetId="11">#REF!</definedName>
    <definedName name="revenue" localSheetId="10">#REF!</definedName>
    <definedName name="revenue">#REF!</definedName>
    <definedName name="rrr" localSheetId="13">#REF!</definedName>
    <definedName name="rrr" localSheetId="6">#REF!</definedName>
    <definedName name="rrr" localSheetId="7">#REF!</definedName>
    <definedName name="rrr" localSheetId="8">#REF!</definedName>
    <definedName name="rrr" localSheetId="9">#REF!</definedName>
    <definedName name="rrr" localSheetId="11">#REF!</definedName>
    <definedName name="rrr" localSheetId="10">#REF!</definedName>
    <definedName name="rrr">#REF!</definedName>
    <definedName name="rrrr" localSheetId="13">'[1]201'!#REF!</definedName>
    <definedName name="rrrr" localSheetId="6">'[1]201'!#REF!</definedName>
    <definedName name="rrrr" localSheetId="7">'[1]201'!#REF!</definedName>
    <definedName name="rrrr" localSheetId="8">'[1]201'!#REF!</definedName>
    <definedName name="rrrr" localSheetId="9">'[1]201'!#REF!</definedName>
    <definedName name="rrrr" localSheetId="11">'[1]201'!#REF!</definedName>
    <definedName name="rrrr" localSheetId="10">'[1]201'!#REF!</definedName>
    <definedName name="rrrr">'[1]201'!#REF!</definedName>
    <definedName name="SA" localSheetId="13">#REF!</definedName>
    <definedName name="SA" localSheetId="12">#REF!</definedName>
    <definedName name="SA" localSheetId="6">#REF!</definedName>
    <definedName name="SA" localSheetId="7">#REF!</definedName>
    <definedName name="SA" localSheetId="8">#REF!</definedName>
    <definedName name="SA" localSheetId="9">#REF!</definedName>
    <definedName name="SA" localSheetId="11">#REF!</definedName>
    <definedName name="SA" localSheetId="10">#REF!</definedName>
    <definedName name="SA">#REF!</definedName>
    <definedName name="sac" localSheetId="13">[1]GFREV!#REF!</definedName>
    <definedName name="sac" localSheetId="6">[1]GFREV!#REF!</definedName>
    <definedName name="sac" localSheetId="7">[1]GFREV!#REF!</definedName>
    <definedName name="sac" localSheetId="8">[1]GFREV!#REF!</definedName>
    <definedName name="sac" localSheetId="9">[1]GFREV!#REF!</definedName>
    <definedName name="sac" localSheetId="11">[1]GFREV!#REF!</definedName>
    <definedName name="sac" localSheetId="10">[1]GFREV!#REF!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8">#REF!</definedName>
    <definedName name="sacaplease" localSheetId="9">#REF!</definedName>
    <definedName name="sacaplease" localSheetId="11">#REF!</definedName>
    <definedName name="sacaplease" localSheetId="10">#REF!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8">#REF!</definedName>
    <definedName name="sacapoutlay" localSheetId="9">#REF!</definedName>
    <definedName name="sacapoutlay" localSheetId="11">#REF!</definedName>
    <definedName name="sacapoutlay" localSheetId="10">#REF!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8">#REF!</definedName>
    <definedName name="sachange" localSheetId="9">#REF!</definedName>
    <definedName name="sachange" localSheetId="11">#REF!</definedName>
    <definedName name="sachange" localSheetId="10">#REF!</definedName>
    <definedName name="sachange">#REF!</definedName>
    <definedName name="sacls" localSheetId="13">#REF!</definedName>
    <definedName name="sacls" localSheetId="6">#REF!</definedName>
    <definedName name="sacls" localSheetId="7">#REF!</definedName>
    <definedName name="sacls" localSheetId="8">#REF!</definedName>
    <definedName name="sacls" localSheetId="9">#REF!</definedName>
    <definedName name="sacls" localSheetId="11">#REF!</definedName>
    <definedName name="sacls" localSheetId="10">#REF!</definedName>
    <definedName name="sacls">#REF!</definedName>
    <definedName name="sacomm" localSheetId="13">#REF!</definedName>
    <definedName name="sacomm" localSheetId="6">#REF!</definedName>
    <definedName name="sacomm" localSheetId="7">#REF!</definedName>
    <definedName name="sacomm" localSheetId="8">#REF!</definedName>
    <definedName name="sacomm" localSheetId="9">#REF!</definedName>
    <definedName name="sacomm" localSheetId="11">#REF!</definedName>
    <definedName name="sacomm" localSheetId="10">#REF!</definedName>
    <definedName name="sacomm">#REF!</definedName>
    <definedName name="sacommunity" localSheetId="13">#REF!</definedName>
    <definedName name="sacommunity" localSheetId="6">#REF!</definedName>
    <definedName name="sacommunity" localSheetId="7">#REF!</definedName>
    <definedName name="sacommunity" localSheetId="8">#REF!</definedName>
    <definedName name="sacommunity" localSheetId="9">#REF!</definedName>
    <definedName name="sacommunity" localSheetId="11">#REF!</definedName>
    <definedName name="sacommunity" localSheetId="10">#REF!</definedName>
    <definedName name="sacommunity">#REF!</definedName>
    <definedName name="sacontingensy" localSheetId="13">#REF!</definedName>
    <definedName name="sacontingensy" localSheetId="6">#REF!</definedName>
    <definedName name="sacontingensy" localSheetId="7">#REF!</definedName>
    <definedName name="sacontingensy" localSheetId="8">#REF!</definedName>
    <definedName name="sacontingensy" localSheetId="9">#REF!</definedName>
    <definedName name="sacontingensy" localSheetId="11">#REF!</definedName>
    <definedName name="sacontingensy" localSheetId="10">#REF!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8">[1]GFREV!#REF!</definedName>
    <definedName name="sacontributions" localSheetId="9">[1]GFREV!#REF!</definedName>
    <definedName name="sacontributions" localSheetId="11">[1]GFREV!#REF!</definedName>
    <definedName name="sacontributions" localSheetId="10">[1]GFREV!#REF!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8">#REF!</definedName>
    <definedName name="sadebtseruve" localSheetId="9">#REF!</definedName>
    <definedName name="sadebtseruve" localSheetId="11">#REF!</definedName>
    <definedName name="sadebtseruve" localSheetId="10">#REF!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8">#REF!</definedName>
    <definedName name="sadeff" localSheetId="9">#REF!</definedName>
    <definedName name="sadeff" localSheetId="11">#REF!</definedName>
    <definedName name="sadeff" localSheetId="10">#REF!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8">#REF!</definedName>
    <definedName name="sads" localSheetId="9">#REF!</definedName>
    <definedName name="sads" localSheetId="11">#REF!</definedName>
    <definedName name="sads" localSheetId="10">#REF!</definedName>
    <definedName name="sads">#REF!</definedName>
    <definedName name="sads1" localSheetId="13">#REF!</definedName>
    <definedName name="sads1" localSheetId="6">#REF!</definedName>
    <definedName name="sads1" localSheetId="7">#REF!</definedName>
    <definedName name="sads1" localSheetId="8">#REF!</definedName>
    <definedName name="sads1" localSheetId="9">#REF!</definedName>
    <definedName name="sads1" localSheetId="11">#REF!</definedName>
    <definedName name="sads1" localSheetId="10">#REF!</definedName>
    <definedName name="sads1">#REF!</definedName>
    <definedName name="sae" localSheetId="13">#REF!</definedName>
    <definedName name="sae" localSheetId="6">#REF!</definedName>
    <definedName name="sae" localSheetId="7">#REF!</definedName>
    <definedName name="sae" localSheetId="8">#REF!</definedName>
    <definedName name="sae" localSheetId="9">#REF!</definedName>
    <definedName name="sae" localSheetId="11">#REF!</definedName>
    <definedName name="sae" localSheetId="10">#REF!</definedName>
    <definedName name="sae">#REF!</definedName>
    <definedName name="saearn" localSheetId="13">#REF!</definedName>
    <definedName name="saearn" localSheetId="6">#REF!</definedName>
    <definedName name="saearn" localSheetId="7">#REF!</definedName>
    <definedName name="saearn" localSheetId="8">#REF!</definedName>
    <definedName name="saearn" localSheetId="9">#REF!</definedName>
    <definedName name="saearn" localSheetId="11">#REF!</definedName>
    <definedName name="saearn" localSheetId="10">#REF!</definedName>
    <definedName name="saearn">#REF!</definedName>
    <definedName name="saexcess" localSheetId="13">#REF!</definedName>
    <definedName name="saexcess" localSheetId="6">#REF!</definedName>
    <definedName name="saexcess" localSheetId="7">#REF!</definedName>
    <definedName name="saexcess" localSheetId="8">#REF!</definedName>
    <definedName name="saexcess" localSheetId="9">#REF!</definedName>
    <definedName name="saexcess" localSheetId="11">#REF!</definedName>
    <definedName name="saexcess" localSheetId="10">#REF!</definedName>
    <definedName name="saexcess">#REF!</definedName>
    <definedName name="saexess" localSheetId="13">#REF!</definedName>
    <definedName name="saexess" localSheetId="6">#REF!</definedName>
    <definedName name="saexess" localSheetId="7">#REF!</definedName>
    <definedName name="saexess" localSheetId="8">#REF!</definedName>
    <definedName name="saexess" localSheetId="9">#REF!</definedName>
    <definedName name="saexess" localSheetId="11">#REF!</definedName>
    <definedName name="saexess" localSheetId="10">#REF!</definedName>
    <definedName name="saexess">#REF!</definedName>
    <definedName name="safed" localSheetId="13">#REF!</definedName>
    <definedName name="safed" localSheetId="6">#REF!</definedName>
    <definedName name="safed" localSheetId="7">#REF!</definedName>
    <definedName name="safed" localSheetId="8">#REF!</definedName>
    <definedName name="safed" localSheetId="9">#REF!</definedName>
    <definedName name="safed" localSheetId="11">#REF!</definedName>
    <definedName name="safed" localSheetId="10">#REF!</definedName>
    <definedName name="safed">#REF!</definedName>
    <definedName name="safed1" localSheetId="13">#REF!</definedName>
    <definedName name="safed1" localSheetId="6">#REF!</definedName>
    <definedName name="safed1" localSheetId="7">#REF!</definedName>
    <definedName name="safed1" localSheetId="8">#REF!</definedName>
    <definedName name="safed1" localSheetId="9">#REF!</definedName>
    <definedName name="safed1" localSheetId="11">#REF!</definedName>
    <definedName name="safed1" localSheetId="10">#REF!</definedName>
    <definedName name="safed1">#REF!</definedName>
    <definedName name="safed2" localSheetId="13">#REF!</definedName>
    <definedName name="safed2" localSheetId="6">#REF!</definedName>
    <definedName name="safed2" localSheetId="7">#REF!</definedName>
    <definedName name="safed2" localSheetId="8">#REF!</definedName>
    <definedName name="safed2" localSheetId="9">#REF!</definedName>
    <definedName name="safed2" localSheetId="11">#REF!</definedName>
    <definedName name="safed2" localSheetId="10">#REF!</definedName>
    <definedName name="safed2">#REF!</definedName>
    <definedName name="safederal" localSheetId="13">#REF!</definedName>
    <definedName name="safederal" localSheetId="6">#REF!</definedName>
    <definedName name="safederal" localSheetId="7">#REF!</definedName>
    <definedName name="safederal" localSheetId="8">#REF!</definedName>
    <definedName name="safederal" localSheetId="9">#REF!</definedName>
    <definedName name="safederal" localSheetId="11">#REF!</definedName>
    <definedName name="safederal" localSheetId="10">#REF!</definedName>
    <definedName name="safederal">#REF!</definedName>
    <definedName name="sag" localSheetId="13">'[1]BS-NONMAJOR'!#REF!</definedName>
    <definedName name="sag" localSheetId="6">'[1]BS-NONMAJOR'!#REF!</definedName>
    <definedName name="sag" localSheetId="7">'[1]BS-NONMAJOR'!#REF!</definedName>
    <definedName name="sag" localSheetId="8">'[1]BS-NONMAJOR'!#REF!</definedName>
    <definedName name="sag" localSheetId="9">'[1]BS-NONMAJOR'!#REF!</definedName>
    <definedName name="sag" localSheetId="11">'[1]BS-NONMAJOR'!#REF!</definedName>
    <definedName name="sag" localSheetId="10">'[1]BS-NONMAJOR'!#REF!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8">#REF!</definedName>
    <definedName name="sags" localSheetId="9">#REF!</definedName>
    <definedName name="sags" localSheetId="11">#REF!</definedName>
    <definedName name="sags" localSheetId="10">#REF!</definedName>
    <definedName name="sags">#REF!</definedName>
    <definedName name="sainr" localSheetId="13">'[1]BS-NONMAJOR'!#REF!</definedName>
    <definedName name="sainr" localSheetId="6">'[1]BS-NONMAJOR'!#REF!</definedName>
    <definedName name="sainr" localSheetId="7">'[1]BS-NONMAJOR'!#REF!</definedName>
    <definedName name="sainr" localSheetId="8">'[1]BS-NONMAJOR'!#REF!</definedName>
    <definedName name="sainr" localSheetId="9">'[1]BS-NONMAJOR'!#REF!</definedName>
    <definedName name="sainr" localSheetId="11">'[1]BS-NONMAJOR'!#REF!</definedName>
    <definedName name="sainr" localSheetId="10">'[1]BS-NONMAJOR'!#REF!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8">#REF!</definedName>
    <definedName name="sainstruction" localSheetId="9">#REF!</definedName>
    <definedName name="sainstruction" localSheetId="11">#REF!</definedName>
    <definedName name="sainstruction" localSheetId="10">#REF!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8">'[1]REV NONMAJOR'!#REF!</definedName>
    <definedName name="saint" localSheetId="9">'[1]REV NONMAJOR'!#REF!</definedName>
    <definedName name="saint" localSheetId="11">'[1]REV NONMAJOR'!#REF!</definedName>
    <definedName name="saint" localSheetId="10">'[1]REV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8">#REF!</definedName>
    <definedName name="sainterest" localSheetId="9">#REF!</definedName>
    <definedName name="sainterest" localSheetId="11">#REF!</definedName>
    <definedName name="sainterest" localSheetId="10">#REF!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8">#REF!</definedName>
    <definedName name="saintermed" localSheetId="9">#REF!</definedName>
    <definedName name="saintermed" localSheetId="11">#REF!</definedName>
    <definedName name="saintermed" localSheetId="10">#REF!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8">#REF!</definedName>
    <definedName name="saintmed" localSheetId="9">#REF!</definedName>
    <definedName name="saintmed" localSheetId="11">#REF!</definedName>
    <definedName name="saintmed" localSheetId="10">#REF!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8">'[1]BS-NONMAJOR'!#REF!</definedName>
    <definedName name="sainv" localSheetId="9">'[1]BS-NONMAJOR'!#REF!</definedName>
    <definedName name="sainv" localSheetId="11">'[1]BS-NONMAJOR'!#REF!</definedName>
    <definedName name="sainv" localSheetId="10">'[1]BS-NONMAJOR'!#REF!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8">[1]GFREV!#REF!</definedName>
    <definedName name="saland" localSheetId="9">[1]GFREV!#REF!</definedName>
    <definedName name="saland" localSheetId="11">[1]GFREV!#REF!</definedName>
    <definedName name="saland" localSheetId="10">[1]GFREV!#REF!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8">#REF!</definedName>
    <definedName name="sale" localSheetId="9">#REF!</definedName>
    <definedName name="sale" localSheetId="11">#REF!</definedName>
    <definedName name="sale" localSheetId="10">#REF!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8">#REF!</definedName>
    <definedName name="saleasepurch" localSheetId="9">#REF!</definedName>
    <definedName name="saleasepurch" localSheetId="11">#REF!</definedName>
    <definedName name="saleasepurch" localSheetId="10">#REF!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8">#REF!</definedName>
    <definedName name="samics" localSheetId="9">#REF!</definedName>
    <definedName name="samics" localSheetId="11">#REF!</definedName>
    <definedName name="samics" localSheetId="10">#REF!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8">'[1]201'!#REF!</definedName>
    <definedName name="sanslp" localSheetId="9">'[1]201'!#REF!</definedName>
    <definedName name="sanslp" localSheetId="11">'[1]201'!#REF!</definedName>
    <definedName name="sanslp" localSheetId="10">'[1]201'!#REF!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8">#REF!</definedName>
    <definedName name="sasupport" localSheetId="9">#REF!</definedName>
    <definedName name="sasupport" localSheetId="11">#REF!</definedName>
    <definedName name="sasupport" localSheetId="10">#REF!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8">'[1]201'!#REF!</definedName>
    <definedName name="satransin" localSheetId="9">'[1]201'!#REF!</definedName>
    <definedName name="satransin" localSheetId="11">'[1]201'!#REF!</definedName>
    <definedName name="satransin" localSheetId="10">'[1]201'!#REF!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8">#REF!</definedName>
    <definedName name="satransout" localSheetId="9">#REF!</definedName>
    <definedName name="satransout" localSheetId="11">#REF!</definedName>
    <definedName name="satransout" localSheetId="10">#REF!</definedName>
    <definedName name="satransout">#REF!</definedName>
    <definedName name="satuition" localSheetId="13">[1]GFREV!#REF!</definedName>
    <definedName name="satuition" localSheetId="6">[1]GFREV!#REF!</definedName>
    <definedName name="satuition" localSheetId="7">[1]GFREV!#REF!</definedName>
    <definedName name="satuition" localSheetId="8">[1]GFREV!#REF!</definedName>
    <definedName name="satuition" localSheetId="9">[1]GFREV!#REF!</definedName>
    <definedName name="satuition" localSheetId="11">[1]GFREV!#REF!</definedName>
    <definedName name="satuition" localSheetId="10">[1]GFREV!#REF!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8">#REF!</definedName>
    <definedName name="sdb" localSheetId="9">#REF!</definedName>
    <definedName name="sdb" localSheetId="11">#REF!</definedName>
    <definedName name="sdb" localSheetId="10">#REF!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8">'[1]REV NONMAJOR'!#REF!</definedName>
    <definedName name="sevices" localSheetId="9">'[1]REV NONMAJOR'!#REF!</definedName>
    <definedName name="sevices" localSheetId="11">'[1]REV NONMAJOR'!#REF!</definedName>
    <definedName name="sevices" localSheetId="10">'[1]REV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8">'[1]BS-NONMAJOR'!#REF!</definedName>
    <definedName name="ssdueto" localSheetId="9">'[1]BS-NONMAJOR'!#REF!</definedName>
    <definedName name="ssdueto" localSheetId="11">'[1]BS-NONMAJOR'!#REF!</definedName>
    <definedName name="ssdueto" localSheetId="10">'[1]BS-NONMAJOR'!#REF!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8">#REF!</definedName>
    <definedName name="sss" localSheetId="9">#REF!</definedName>
    <definedName name="sss" localSheetId="11">#REF!</definedName>
    <definedName name="sss" localSheetId="10">#REF!</definedName>
    <definedName name="sss">#REF!</definedName>
    <definedName name="ssss" localSheetId="13">[1]GFREV!#REF!</definedName>
    <definedName name="ssss" localSheetId="6">[1]GFREV!#REF!</definedName>
    <definedName name="ssss" localSheetId="7">[1]GFREV!#REF!</definedName>
    <definedName name="ssss" localSheetId="8">[1]GFREV!#REF!</definedName>
    <definedName name="ssss" localSheetId="9">[1]GFREV!#REF!</definedName>
    <definedName name="ssss" localSheetId="11">[1]GFREV!#REF!</definedName>
    <definedName name="ssss" localSheetId="10">[1]GFREV!#REF!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8">#REF!</definedName>
    <definedName name="state" localSheetId="9">#REF!</definedName>
    <definedName name="state" localSheetId="11">#REF!</definedName>
    <definedName name="state" localSheetId="10">#REF!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8">#REF!</definedName>
    <definedName name="supp" localSheetId="9">#REF!</definedName>
    <definedName name="supp" localSheetId="11">#REF!</definedName>
    <definedName name="supp" localSheetId="10">#REF!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8">#REF!</definedName>
    <definedName name="SUPPCAP" localSheetId="9">#REF!</definedName>
    <definedName name="SUPPCAP" localSheetId="11">#REF!</definedName>
    <definedName name="SUPPCAP" localSheetId="10">#REF!</definedName>
    <definedName name="SUPPCAP">#REF!</definedName>
    <definedName name="suppcapital" localSheetId="13">#REF!</definedName>
    <definedName name="suppcapital" localSheetId="6">#REF!</definedName>
    <definedName name="suppcapital" localSheetId="7">#REF!</definedName>
    <definedName name="suppcapital" localSheetId="8">#REF!</definedName>
    <definedName name="suppcapital" localSheetId="9">#REF!</definedName>
    <definedName name="suppcapital" localSheetId="11">#REF!</definedName>
    <definedName name="suppcapital" localSheetId="10">#REF!</definedName>
    <definedName name="suppcapital">#REF!</definedName>
    <definedName name="support" localSheetId="13">#REF!</definedName>
    <definedName name="support" localSheetId="6">#REF!</definedName>
    <definedName name="support" localSheetId="7">#REF!</definedName>
    <definedName name="support" localSheetId="8">#REF!</definedName>
    <definedName name="support" localSheetId="9">#REF!</definedName>
    <definedName name="support" localSheetId="11">#REF!</definedName>
    <definedName name="support" localSheetId="10">#REF!</definedName>
    <definedName name="support">#REF!</definedName>
    <definedName name="taxes" localSheetId="13">#REF!</definedName>
    <definedName name="taxes" localSheetId="6">#REF!</definedName>
    <definedName name="taxes" localSheetId="7">#REF!</definedName>
    <definedName name="taxes" localSheetId="8">#REF!</definedName>
    <definedName name="taxes" localSheetId="9">#REF!</definedName>
    <definedName name="taxes" localSheetId="11">#REF!</definedName>
    <definedName name="taxes" localSheetId="10">#REF!</definedName>
    <definedName name="taxes">#REF!</definedName>
    <definedName name="trans" localSheetId="13">#REF!</definedName>
    <definedName name="trans" localSheetId="6">#REF!</definedName>
    <definedName name="trans" localSheetId="7">#REF!</definedName>
    <definedName name="trans" localSheetId="8">#REF!</definedName>
    <definedName name="trans" localSheetId="9">#REF!</definedName>
    <definedName name="trans" localSheetId="11">#REF!</definedName>
    <definedName name="trans" localSheetId="10">#REF!</definedName>
    <definedName name="trans">#REF!</definedName>
    <definedName name="transout" localSheetId="13">#REF!</definedName>
    <definedName name="transout" localSheetId="6">#REF!</definedName>
    <definedName name="transout" localSheetId="7">#REF!</definedName>
    <definedName name="transout" localSheetId="8">#REF!</definedName>
    <definedName name="transout" localSheetId="9">#REF!</definedName>
    <definedName name="transout" localSheetId="11">#REF!</definedName>
    <definedName name="transout" localSheetId="10">#REF!</definedName>
    <definedName name="transout">#REF!</definedName>
    <definedName name="TUITION" localSheetId="13">[1]GFREV!#REF!</definedName>
    <definedName name="TUITION" localSheetId="6">[1]GFREV!#REF!</definedName>
    <definedName name="TUITION" localSheetId="7">[1]GFREV!#REF!</definedName>
    <definedName name="TUITION" localSheetId="8">[1]GFREV!#REF!</definedName>
    <definedName name="TUITION" localSheetId="9">[1]GFREV!#REF!</definedName>
    <definedName name="TUITION" localSheetId="11">[1]GFREV!#REF!</definedName>
    <definedName name="TUITION" localSheetId="10">[1]GFREV!#REF!</definedName>
    <definedName name="TUITION">[1]GFREV!#REF!</definedName>
    <definedName name="WOST" localSheetId="13">[1]GFREV!#REF!</definedName>
    <definedName name="WOST" localSheetId="6">[1]GFREV!#REF!</definedName>
    <definedName name="WOST" localSheetId="7">[1]GFREV!#REF!</definedName>
    <definedName name="WOST" localSheetId="8">[1]GFREV!#REF!</definedName>
    <definedName name="WOST" localSheetId="9">[1]GFREV!#REF!</definedName>
    <definedName name="WOST" localSheetId="11">[1]GFREV!#REF!</definedName>
    <definedName name="WOST" localSheetId="10">[1]GFREV!#REF!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 i="6" l="1"/>
  <c r="T11" i="6"/>
  <c r="T10" i="6"/>
  <c r="T9" i="6"/>
  <c r="T8" i="6"/>
  <c r="T6" i="6"/>
  <c r="B12" i="6" l="1"/>
  <c r="G18" i="10" l="1"/>
  <c r="G19" i="10"/>
  <c r="E14" i="11"/>
  <c r="G14" i="11" s="1"/>
  <c r="E15" i="11"/>
  <c r="G15" i="11"/>
  <c r="E16" i="11"/>
  <c r="G16" i="11"/>
  <c r="E17" i="11"/>
  <c r="G17" i="11" s="1"/>
  <c r="E18" i="11"/>
  <c r="K18" i="11" s="1"/>
  <c r="I19" i="10"/>
  <c r="I18" i="10"/>
  <c r="G17" i="10"/>
  <c r="I17" i="10" s="1"/>
  <c r="K20" i="10"/>
  <c r="I20" i="10"/>
  <c r="B9" i="15"/>
  <c r="V4" i="15"/>
  <c r="W4" i="15"/>
  <c r="X4" i="15"/>
  <c r="Y4" i="15"/>
  <c r="AD4" i="15"/>
  <c r="AB2" i="15"/>
  <c r="Z2" i="15"/>
  <c r="X2" i="15"/>
  <c r="V2" i="15"/>
  <c r="T2" i="15"/>
  <c r="S2" i="15"/>
  <c r="U3" i="15"/>
  <c r="T3" i="15"/>
  <c r="C4" i="15"/>
  <c r="E4" i="15"/>
  <c r="F4" i="15"/>
  <c r="O4" i="15"/>
  <c r="B4" i="15"/>
  <c r="M2" i="15"/>
  <c r="K2" i="15"/>
  <c r="I2" i="15"/>
  <c r="G2" i="15"/>
  <c r="E2" i="15"/>
  <c r="C3" i="15"/>
  <c r="D3" i="15"/>
  <c r="E3" i="15"/>
  <c r="F3" i="15"/>
  <c r="G3" i="15"/>
  <c r="H3" i="15"/>
  <c r="I3" i="15"/>
  <c r="J3" i="15"/>
  <c r="K3" i="15"/>
  <c r="L3" i="15"/>
  <c r="M3" i="15"/>
  <c r="N3" i="15"/>
  <c r="O3" i="15"/>
  <c r="B3" i="15"/>
  <c r="M52" i="4"/>
  <c r="E47" i="13"/>
  <c r="E46" i="13"/>
  <c r="G18" i="11" l="1"/>
  <c r="C9" i="6" l="1"/>
  <c r="C6" i="15" s="1"/>
  <c r="C10" i="6"/>
  <c r="C7" i="15" s="1"/>
  <c r="C11" i="6"/>
  <c r="C8" i="15" s="1"/>
  <c r="C12" i="6"/>
  <c r="C9" i="15" s="1"/>
  <c r="C8" i="6"/>
  <c r="C5" i="15" s="1"/>
  <c r="C6" i="6"/>
  <c r="C11" i="15" l="1"/>
  <c r="C43" i="2"/>
  <c r="F31" i="6" l="1"/>
  <c r="F32" i="6"/>
  <c r="F33" i="6"/>
  <c r="F34" i="6"/>
  <c r="F30" i="6"/>
  <c r="F28" i="6"/>
  <c r="F26" i="6"/>
  <c r="F35" i="6"/>
  <c r="D26" i="6"/>
  <c r="E26" i="6"/>
  <c r="E31" i="6"/>
  <c r="E32" i="6"/>
  <c r="E33" i="6"/>
  <c r="E34" i="6"/>
  <c r="E28" i="6"/>
  <c r="E30" i="6"/>
  <c r="E35" i="6" s="1"/>
  <c r="D31" i="6"/>
  <c r="D32" i="6"/>
  <c r="D33" i="6"/>
  <c r="D34" i="6"/>
  <c r="D30" i="6"/>
  <c r="D28" i="6"/>
  <c r="C31" i="6"/>
  <c r="C32" i="6"/>
  <c r="C33" i="6"/>
  <c r="C34" i="6"/>
  <c r="C30" i="6"/>
  <c r="C28" i="6"/>
  <c r="B31" i="6"/>
  <c r="G31" i="6" s="1"/>
  <c r="B32" i="6"/>
  <c r="G32" i="6" s="1"/>
  <c r="B33" i="6"/>
  <c r="G33" i="6" s="1"/>
  <c r="B34" i="6"/>
  <c r="G34" i="6" s="1"/>
  <c r="B30" i="6"/>
  <c r="B28" i="6"/>
  <c r="AA9" i="6"/>
  <c r="AA6" i="15" s="1"/>
  <c r="AA10" i="6"/>
  <c r="AA7" i="15" s="1"/>
  <c r="AA11" i="6"/>
  <c r="AA8" i="15" s="1"/>
  <c r="AA12" i="6"/>
  <c r="AA9" i="15" s="1"/>
  <c r="AA8" i="6"/>
  <c r="AA5" i="15" s="1"/>
  <c r="AA11" i="15" s="1"/>
  <c r="X2" i="6"/>
  <c r="X9" i="6"/>
  <c r="X6" i="15" s="1"/>
  <c r="Y9" i="6"/>
  <c r="Y6" i="15" s="1"/>
  <c r="X10" i="6"/>
  <c r="X7" i="15" s="1"/>
  <c r="Y10" i="6"/>
  <c r="Y7" i="15" s="1"/>
  <c r="X11" i="6"/>
  <c r="X8" i="15" s="1"/>
  <c r="Y11" i="6"/>
  <c r="Y8" i="15" s="1"/>
  <c r="X12" i="6"/>
  <c r="X9" i="15" s="1"/>
  <c r="Y12" i="6"/>
  <c r="Y9" i="15" s="1"/>
  <c r="X8" i="6"/>
  <c r="X5" i="15" s="1"/>
  <c r="Y8" i="6"/>
  <c r="Y5" i="15" s="1"/>
  <c r="X6" i="6"/>
  <c r="Y6" i="6"/>
  <c r="Y13" i="6" l="1"/>
  <c r="Y14" i="6" s="1"/>
  <c r="X11" i="15"/>
  <c r="X13" i="6"/>
  <c r="X14" i="6" s="1"/>
  <c r="Y11" i="15"/>
  <c r="G28" i="6"/>
  <c r="G30" i="6"/>
  <c r="G35" i="6"/>
  <c r="F9" i="6"/>
  <c r="F6" i="15" s="1"/>
  <c r="F10" i="6"/>
  <c r="F7" i="15" s="1"/>
  <c r="F11" i="6"/>
  <c r="F8" i="15" s="1"/>
  <c r="F12" i="6"/>
  <c r="F9" i="15" s="1"/>
  <c r="F8" i="6"/>
  <c r="F5" i="15" s="1"/>
  <c r="F6" i="6"/>
  <c r="T6" i="15"/>
  <c r="U9" i="6"/>
  <c r="U6" i="15" s="1"/>
  <c r="T7" i="15"/>
  <c r="U10" i="6"/>
  <c r="U7" i="15" s="1"/>
  <c r="T8" i="15"/>
  <c r="U11" i="6"/>
  <c r="U8" i="15" s="1"/>
  <c r="T9" i="15"/>
  <c r="U12" i="6"/>
  <c r="U9" i="15" s="1"/>
  <c r="T5" i="15"/>
  <c r="U8" i="6"/>
  <c r="U5" i="15" s="1"/>
  <c r="U6" i="6"/>
  <c r="V9" i="6"/>
  <c r="W9" i="6"/>
  <c r="V10" i="6"/>
  <c r="V7" i="15" s="1"/>
  <c r="W10" i="6"/>
  <c r="W7" i="15" s="1"/>
  <c r="V11" i="6"/>
  <c r="V8" i="15" s="1"/>
  <c r="W11" i="6"/>
  <c r="W8" i="15" s="1"/>
  <c r="V12" i="6"/>
  <c r="V9" i="15" s="1"/>
  <c r="W12" i="6"/>
  <c r="W9" i="15" s="1"/>
  <c r="V8" i="6"/>
  <c r="V5" i="15" s="1"/>
  <c r="W8" i="6"/>
  <c r="W5" i="15" s="1"/>
  <c r="W6" i="6"/>
  <c r="V6" i="6"/>
  <c r="V2" i="6"/>
  <c r="G9" i="6"/>
  <c r="H9" i="6"/>
  <c r="G10" i="6"/>
  <c r="G7" i="15" s="1"/>
  <c r="H10" i="6"/>
  <c r="H7" i="15" s="1"/>
  <c r="G11" i="6"/>
  <c r="G8" i="15" s="1"/>
  <c r="H11" i="6"/>
  <c r="H8" i="15" s="1"/>
  <c r="G12" i="6"/>
  <c r="G9" i="15" s="1"/>
  <c r="H12" i="6"/>
  <c r="H9" i="15" s="1"/>
  <c r="G8" i="6"/>
  <c r="G5" i="15" s="1"/>
  <c r="H8" i="6"/>
  <c r="H5" i="15" s="1"/>
  <c r="H6" i="6"/>
  <c r="G6" i="6"/>
  <c r="H4" i="6"/>
  <c r="H4" i="15" s="1"/>
  <c r="G4" i="6"/>
  <c r="G4" i="15" s="1"/>
  <c r="G2" i="6"/>
  <c r="E9" i="6"/>
  <c r="E6" i="15" s="1"/>
  <c r="E10" i="6"/>
  <c r="E7" i="15" s="1"/>
  <c r="E11" i="6"/>
  <c r="E8" i="15" s="1"/>
  <c r="E12" i="6"/>
  <c r="E9" i="15" s="1"/>
  <c r="E8" i="6"/>
  <c r="E6" i="6"/>
  <c r="E2" i="6"/>
  <c r="B199" i="1"/>
  <c r="B198" i="1"/>
  <c r="B197" i="1"/>
  <c r="B196" i="1"/>
  <c r="B195" i="1"/>
  <c r="B194" i="1"/>
  <c r="B193" i="1"/>
  <c r="B192" i="1"/>
  <c r="B185" i="1"/>
  <c r="B184" i="1"/>
  <c r="B183" i="1"/>
  <c r="B182" i="1"/>
  <c r="B181" i="1"/>
  <c r="B180" i="1"/>
  <c r="B179" i="1"/>
  <c r="B178" i="1"/>
  <c r="B171" i="1"/>
  <c r="B170" i="1"/>
  <c r="B169" i="1"/>
  <c r="B168" i="1"/>
  <c r="B167" i="1"/>
  <c r="B166" i="1"/>
  <c r="B165" i="1"/>
  <c r="B164" i="1"/>
  <c r="B157" i="1"/>
  <c r="B156" i="1"/>
  <c r="B155" i="1"/>
  <c r="B154" i="1"/>
  <c r="B153" i="1"/>
  <c r="B152" i="1"/>
  <c r="B151" i="1"/>
  <c r="B150" i="1"/>
  <c r="B143" i="1"/>
  <c r="B142" i="1"/>
  <c r="B141" i="1"/>
  <c r="B140" i="1"/>
  <c r="B139" i="1"/>
  <c r="B138" i="1"/>
  <c r="B137" i="1"/>
  <c r="B136" i="1"/>
  <c r="B129" i="1"/>
  <c r="B128" i="1"/>
  <c r="B127" i="1"/>
  <c r="B126" i="1"/>
  <c r="B125" i="1"/>
  <c r="B124" i="1"/>
  <c r="B123" i="1"/>
  <c r="B122" i="1"/>
  <c r="B115" i="1"/>
  <c r="B114" i="1"/>
  <c r="B113" i="1"/>
  <c r="B112" i="1"/>
  <c r="B111" i="1"/>
  <c r="B110" i="1"/>
  <c r="B109" i="1"/>
  <c r="B108" i="1"/>
  <c r="B101" i="1"/>
  <c r="B100" i="1"/>
  <c r="B99" i="1"/>
  <c r="B98" i="1"/>
  <c r="B97" i="1"/>
  <c r="B96" i="1"/>
  <c r="B95" i="1"/>
  <c r="B94" i="1"/>
  <c r="B87" i="1"/>
  <c r="B86" i="1"/>
  <c r="B85" i="1"/>
  <c r="B84" i="1"/>
  <c r="B83" i="1"/>
  <c r="B82" i="1"/>
  <c r="B81" i="1"/>
  <c r="B80" i="1"/>
  <c r="B72" i="1"/>
  <c r="B71" i="1"/>
  <c r="B70" i="1"/>
  <c r="B69" i="1"/>
  <c r="B68" i="1"/>
  <c r="B67" i="1"/>
  <c r="B66" i="1"/>
  <c r="B65" i="1"/>
  <c r="B58" i="1"/>
  <c r="B57" i="1"/>
  <c r="B56" i="1"/>
  <c r="B55" i="1"/>
  <c r="B54" i="1"/>
  <c r="B53" i="1"/>
  <c r="B52" i="1"/>
  <c r="B51" i="1"/>
  <c r="B44" i="1"/>
  <c r="B43" i="1"/>
  <c r="B42" i="1"/>
  <c r="B41" i="1"/>
  <c r="B40" i="1"/>
  <c r="B39" i="1"/>
  <c r="B38" i="1"/>
  <c r="B37" i="1"/>
  <c r="B30" i="1"/>
  <c r="B29" i="1"/>
  <c r="B28" i="1"/>
  <c r="B27" i="1"/>
  <c r="B26" i="1"/>
  <c r="B25" i="1"/>
  <c r="B24" i="1"/>
  <c r="B23" i="1"/>
  <c r="B22" i="1"/>
  <c r="B135" i="1" s="1"/>
  <c r="B6" i="6"/>
  <c r="B149" i="1" l="1"/>
  <c r="U11" i="15"/>
  <c r="B50" i="1"/>
  <c r="B163" i="1"/>
  <c r="B64" i="1"/>
  <c r="B177" i="1"/>
  <c r="F13" i="6"/>
  <c r="F14" i="6" s="1"/>
  <c r="B191" i="1"/>
  <c r="B36" i="1"/>
  <c r="B79" i="1"/>
  <c r="B93" i="1"/>
  <c r="B107" i="1"/>
  <c r="B121" i="1"/>
  <c r="F11" i="15"/>
  <c r="G13" i="6"/>
  <c r="G6" i="15"/>
  <c r="G11" i="15" s="1"/>
  <c r="V13" i="6"/>
  <c r="V14" i="6" s="1"/>
  <c r="V6" i="15"/>
  <c r="V11" i="15" s="1"/>
  <c r="W13" i="6"/>
  <c r="W14" i="6" s="1"/>
  <c r="W6" i="15"/>
  <c r="W11" i="15" s="1"/>
  <c r="H13" i="6"/>
  <c r="H6" i="15"/>
  <c r="H11" i="15" s="1"/>
  <c r="E13" i="6"/>
  <c r="E5" i="15"/>
  <c r="T11" i="15"/>
  <c r="O8" i="6"/>
  <c r="O5" i="15" s="1"/>
  <c r="O6" i="6"/>
  <c r="AD11" i="6"/>
  <c r="AD8" i="15" s="1"/>
  <c r="AD6" i="6"/>
  <c r="AD9" i="6"/>
  <c r="AD6" i="15" s="1"/>
  <c r="AD12" i="6"/>
  <c r="AD9" i="15" s="1"/>
  <c r="O9" i="6"/>
  <c r="O6" i="15" s="1"/>
  <c r="AD8" i="6"/>
  <c r="AD5" i="15" s="1"/>
  <c r="O10" i="6"/>
  <c r="O7" i="15" s="1"/>
  <c r="AD10" i="6"/>
  <c r="AD7" i="15" s="1"/>
  <c r="O11" i="6"/>
  <c r="O8" i="15" s="1"/>
  <c r="O12" i="6"/>
  <c r="O9" i="15" s="1"/>
  <c r="H14" i="6"/>
  <c r="G14" i="6"/>
  <c r="O11" i="15" l="1"/>
  <c r="AD11" i="15"/>
  <c r="AA6" i="6"/>
  <c r="G15" i="10" l="1"/>
  <c r="G16" i="10"/>
  <c r="I16" i="10" s="1"/>
  <c r="G14" i="10"/>
  <c r="K17" i="11"/>
  <c r="A13" i="11"/>
  <c r="A14" i="11" s="1"/>
  <c r="A15" i="11" s="1"/>
  <c r="A16" i="11" s="1"/>
  <c r="A17" i="11" s="1"/>
  <c r="A18" i="11" s="1"/>
  <c r="A15" i="10"/>
  <c r="A16" i="10" s="1"/>
  <c r="A17" i="10" s="1"/>
  <c r="A18" i="10" s="1"/>
  <c r="A19" i="10" s="1"/>
  <c r="A20" i="10" s="1"/>
  <c r="N20" i="6" l="1"/>
  <c r="P10" i="15"/>
  <c r="V3" i="15"/>
  <c r="W3" i="15"/>
  <c r="X3" i="15"/>
  <c r="Y3" i="15"/>
  <c r="Z3" i="15"/>
  <c r="AA3" i="15"/>
  <c r="AB3" i="15"/>
  <c r="AC3" i="15"/>
  <c r="AD3" i="15"/>
  <c r="S3" i="15"/>
  <c r="C25" i="14"/>
  <c r="S9" i="6" l="1"/>
  <c r="S10" i="6"/>
  <c r="S11" i="6"/>
  <c r="S12" i="6"/>
  <c r="S8" i="6"/>
  <c r="S6" i="6"/>
  <c r="Z9" i="6"/>
  <c r="Z6" i="15" s="1"/>
  <c r="Z10" i="6"/>
  <c r="Z7" i="15" s="1"/>
  <c r="Z11" i="6"/>
  <c r="Z8" i="15" s="1"/>
  <c r="Z12" i="6"/>
  <c r="Z9" i="15" s="1"/>
  <c r="Z8" i="6"/>
  <c r="Z5" i="15" s="1"/>
  <c r="Z6" i="6"/>
  <c r="AB9" i="6"/>
  <c r="AB6" i="15" s="1"/>
  <c r="AB10" i="6"/>
  <c r="AB7" i="15" s="1"/>
  <c r="AB11" i="6"/>
  <c r="AB8" i="15" s="1"/>
  <c r="AB12" i="6"/>
  <c r="AB9" i="15" s="1"/>
  <c r="AB8" i="6"/>
  <c r="AB5" i="15" s="1"/>
  <c r="AB6" i="6"/>
  <c r="AC9" i="6"/>
  <c r="AC6" i="15" s="1"/>
  <c r="AC10" i="6"/>
  <c r="AC7" i="15" s="1"/>
  <c r="AC11" i="6"/>
  <c r="AC8" i="15" s="1"/>
  <c r="AC12" i="6"/>
  <c r="AC9" i="15" s="1"/>
  <c r="AC8" i="6"/>
  <c r="AC5" i="15" s="1"/>
  <c r="AC6" i="6"/>
  <c r="R9" i="6"/>
  <c r="R10" i="6"/>
  <c r="R11" i="6"/>
  <c r="R12" i="6"/>
  <c r="R8" i="6"/>
  <c r="R6" i="6"/>
  <c r="U4" i="6"/>
  <c r="U4" i="15" s="1"/>
  <c r="J4" i="6"/>
  <c r="J4" i="15" s="1"/>
  <c r="I4" i="6"/>
  <c r="I4" i="15" s="1"/>
  <c r="K4" i="6"/>
  <c r="K4" i="15" s="1"/>
  <c r="L4" i="6"/>
  <c r="L4" i="15" s="1"/>
  <c r="N4" i="6"/>
  <c r="N4" i="15" s="1"/>
  <c r="M4" i="6"/>
  <c r="M4" i="15" s="1"/>
  <c r="J9" i="6"/>
  <c r="J6" i="15" s="1"/>
  <c r="J10" i="6"/>
  <c r="J7" i="15" s="1"/>
  <c r="J11" i="6"/>
  <c r="J8" i="15" s="1"/>
  <c r="J11" i="15" s="1"/>
  <c r="J12" i="6"/>
  <c r="J9" i="15" s="1"/>
  <c r="J8" i="6"/>
  <c r="J5" i="15" s="1"/>
  <c r="J6" i="6"/>
  <c r="I9" i="6"/>
  <c r="I6" i="15" s="1"/>
  <c r="I10" i="6"/>
  <c r="I7" i="15" s="1"/>
  <c r="I11" i="6"/>
  <c r="I8" i="15" s="1"/>
  <c r="I12" i="6"/>
  <c r="I9" i="15" s="1"/>
  <c r="I8" i="6"/>
  <c r="I5" i="15" s="1"/>
  <c r="I6" i="6"/>
  <c r="K6" i="6"/>
  <c r="D9" i="6"/>
  <c r="D6" i="15" s="1"/>
  <c r="D10" i="6"/>
  <c r="D7" i="15" s="1"/>
  <c r="D11" i="6"/>
  <c r="D8" i="15" s="1"/>
  <c r="D12" i="6"/>
  <c r="D8" i="6"/>
  <c r="D5" i="15" s="1"/>
  <c r="D6" i="6"/>
  <c r="D4" i="6"/>
  <c r="D4" i="15" s="1"/>
  <c r="M2" i="6"/>
  <c r="I2" i="6"/>
  <c r="S2" i="6"/>
  <c r="D2" i="6"/>
  <c r="D2" i="15" s="1"/>
  <c r="AB2" i="6"/>
  <c r="Z2" i="6"/>
  <c r="T2" i="6"/>
  <c r="K2" i="6"/>
  <c r="D31" i="2"/>
  <c r="AH6" i="15"/>
  <c r="AH7" i="15" s="1"/>
  <c r="AH8" i="15" s="1"/>
  <c r="AH9" i="15" s="1"/>
  <c r="Z11" i="15" l="1"/>
  <c r="AC11" i="15"/>
  <c r="I11" i="15"/>
  <c r="D9" i="15"/>
  <c r="AE6" i="6"/>
  <c r="AB11" i="15"/>
  <c r="AA4" i="6"/>
  <c r="AA4" i="15" s="1"/>
  <c r="S8" i="15"/>
  <c r="AE8" i="15" s="1"/>
  <c r="AC4" i="6"/>
  <c r="AC4" i="15" s="1"/>
  <c r="S7" i="15"/>
  <c r="AE7" i="15" s="1"/>
  <c r="S4" i="6"/>
  <c r="S4" i="15" s="1"/>
  <c r="AB4" i="6"/>
  <c r="AB4" i="15" s="1"/>
  <c r="S6" i="15"/>
  <c r="AE6" i="15" s="1"/>
  <c r="S5" i="15"/>
  <c r="AE5" i="15" s="1"/>
  <c r="I13" i="6"/>
  <c r="I14" i="6" s="1"/>
  <c r="T4" i="6"/>
  <c r="T4" i="15" s="1"/>
  <c r="Z4" i="6"/>
  <c r="Z4" i="15" s="1"/>
  <c r="S9" i="15"/>
  <c r="AE9" i="15" s="1"/>
  <c r="J13" i="6"/>
  <c r="J14" i="6" s="1"/>
  <c r="T13" i="6"/>
  <c r="AB13" i="6"/>
  <c r="AB14" i="6" s="1"/>
  <c r="AC13" i="6"/>
  <c r="AC14" i="6" s="1"/>
  <c r="Z13" i="6"/>
  <c r="Z14" i="6" s="1"/>
  <c r="AA13" i="6"/>
  <c r="D35" i="6"/>
  <c r="B35" i="6"/>
  <c r="C35" i="6"/>
  <c r="E14" i="6" l="1"/>
  <c r="T14" i="6"/>
  <c r="N19" i="6"/>
  <c r="N21" i="6"/>
  <c r="AE8" i="6" l="1"/>
  <c r="AE10" i="6"/>
  <c r="AE9" i="6"/>
  <c r="AE12" i="6"/>
  <c r="AE11" i="6"/>
  <c r="O13" i="6"/>
  <c r="O14" i="6" s="1"/>
  <c r="C31" i="2" l="1"/>
  <c r="C33" i="2" l="1"/>
  <c r="E13" i="11"/>
  <c r="G13" i="11" s="1"/>
  <c r="K13" i="11" l="1"/>
  <c r="M9" i="6" l="1"/>
  <c r="M6" i="15" s="1"/>
  <c r="M10" i="6"/>
  <c r="M7" i="15" s="1"/>
  <c r="M11" i="6"/>
  <c r="M8" i="15" s="1"/>
  <c r="M12" i="6"/>
  <c r="M9" i="15" s="1"/>
  <c r="M8" i="6"/>
  <c r="M5" i="15" s="1"/>
  <c r="M6" i="6"/>
  <c r="N9" i="6"/>
  <c r="N6" i="15" s="1"/>
  <c r="N10" i="6"/>
  <c r="N7" i="15" s="1"/>
  <c r="N11" i="6"/>
  <c r="N8" i="15" s="1"/>
  <c r="N12" i="6"/>
  <c r="N9" i="15" s="1"/>
  <c r="N8" i="6"/>
  <c r="N5" i="15" s="1"/>
  <c r="N6" i="6"/>
  <c r="L9" i="6"/>
  <c r="L6" i="15" s="1"/>
  <c r="L10" i="6"/>
  <c r="L7" i="15" s="1"/>
  <c r="L11" i="6"/>
  <c r="L8" i="15" s="1"/>
  <c r="L12" i="6"/>
  <c r="L9" i="15" s="1"/>
  <c r="L8" i="6"/>
  <c r="L5" i="15" s="1"/>
  <c r="L6" i="6"/>
  <c r="K9" i="6"/>
  <c r="K6" i="15" s="1"/>
  <c r="K10" i="6"/>
  <c r="K7" i="15" s="1"/>
  <c r="K11" i="6"/>
  <c r="K8" i="15" s="1"/>
  <c r="K12" i="6"/>
  <c r="K8" i="6"/>
  <c r="K5" i="15" s="1"/>
  <c r="M11" i="15" l="1"/>
  <c r="L11" i="15"/>
  <c r="K9" i="15"/>
  <c r="P12" i="6"/>
  <c r="P6" i="6"/>
  <c r="N11" i="15"/>
  <c r="P9" i="15"/>
  <c r="K11" i="15"/>
  <c r="N13" i="6"/>
  <c r="N14" i="6" s="1"/>
  <c r="M13" i="6"/>
  <c r="M14" i="6" s="1"/>
  <c r="AJ10" i="15" l="1"/>
  <c r="AH10" i="15"/>
  <c r="R10" i="15"/>
  <c r="K14" i="11" l="1"/>
  <c r="A6" i="15"/>
  <c r="R6" i="15" s="1"/>
  <c r="A7" i="15"/>
  <c r="R7" i="15" s="1"/>
  <c r="A8" i="15"/>
  <c r="R8" i="15" s="1"/>
  <c r="A9" i="15"/>
  <c r="R9" i="15" s="1"/>
  <c r="A5" i="15"/>
  <c r="R5" i="15" s="1"/>
  <c r="A3" i="14"/>
  <c r="C13" i="6" l="1"/>
  <c r="C14" i="6" s="1"/>
  <c r="G28" i="2"/>
  <c r="K13" i="6" l="1"/>
  <c r="K14" i="6" s="1"/>
  <c r="M59" i="4" l="1"/>
  <c r="G10" i="8" l="1"/>
  <c r="A87" i="4"/>
  <c r="A79" i="4"/>
  <c r="A71" i="4"/>
  <c r="A63" i="4"/>
  <c r="A55" i="4"/>
  <c r="M53" i="4"/>
  <c r="D22" i="2" l="1"/>
  <c r="M57" i="4" s="1"/>
  <c r="B60" i="13" l="1"/>
  <c r="B61" i="13"/>
  <c r="B62" i="13"/>
  <c r="B63" i="13"/>
  <c r="B64" i="13"/>
  <c r="A1" i="14"/>
  <c r="C45" i="2"/>
  <c r="F45" i="2" s="1"/>
  <c r="D33" i="2"/>
  <c r="D34" i="2" s="1"/>
  <c r="B54" i="13"/>
  <c r="B55" i="13"/>
  <c r="B56" i="13"/>
  <c r="B57" i="13"/>
  <c r="B58" i="13"/>
  <c r="B59" i="13"/>
  <c r="B53" i="13"/>
  <c r="B39" i="13"/>
  <c r="B33" i="13"/>
  <c r="B27" i="13"/>
  <c r="B21" i="13"/>
  <c r="B15" i="13"/>
  <c r="H49" i="4" l="1"/>
  <c r="C12" i="11" l="1"/>
  <c r="F47" i="4" l="1"/>
  <c r="E48" i="13"/>
  <c r="G47" i="4" s="1"/>
  <c r="E47" i="4"/>
  <c r="M54" i="4" l="1"/>
  <c r="M58" i="4" s="1"/>
  <c r="M60" i="4" l="1"/>
  <c r="D13" i="6"/>
  <c r="D11" i="15" l="1"/>
  <c r="E12" i="11" l="1"/>
  <c r="C15" i="10"/>
  <c r="E15" i="10"/>
  <c r="I15" i="10" s="1"/>
  <c r="E3" i="5"/>
  <c r="E4" i="5"/>
  <c r="E5" i="5"/>
  <c r="E6" i="5"/>
  <c r="E8" i="5"/>
  <c r="E2" i="5"/>
  <c r="C3" i="5"/>
  <c r="C4" i="5"/>
  <c r="C5" i="5"/>
  <c r="C6" i="5"/>
  <c r="C8" i="5"/>
  <c r="G12" i="11" l="1"/>
  <c r="K12" i="11"/>
  <c r="E7" i="5"/>
  <c r="E10" i="5" s="1"/>
  <c r="F48" i="4"/>
  <c r="F49" i="4" l="1"/>
  <c r="C7" i="5"/>
  <c r="C10" i="5" s="1"/>
  <c r="G10" i="5" s="1"/>
  <c r="E11" i="15" l="1"/>
  <c r="B11" i="6"/>
  <c r="B8" i="6"/>
  <c r="B10" i="6"/>
  <c r="B9" i="6"/>
  <c r="G18" i="2"/>
  <c r="G22" i="2"/>
  <c r="B7" i="15" l="1"/>
  <c r="P7" i="15" s="1"/>
  <c r="P10" i="6"/>
  <c r="B6" i="15"/>
  <c r="P6" i="15" s="1"/>
  <c r="P9" i="6"/>
  <c r="B5" i="15"/>
  <c r="P8" i="6"/>
  <c r="B8" i="15"/>
  <c r="P8" i="15" s="1"/>
  <c r="P11" i="6"/>
  <c r="S13" i="6"/>
  <c r="S14" i="6" s="1"/>
  <c r="U13" i="6"/>
  <c r="U14" i="6" s="1"/>
  <c r="B13" i="6"/>
  <c r="P5" i="15" l="1"/>
  <c r="AJ5" i="15" s="1"/>
  <c r="B11" i="15"/>
  <c r="P13" i="6"/>
  <c r="P15" i="6"/>
  <c r="D14" i="6"/>
  <c r="AD13" i="6"/>
  <c r="AD14" i="6" s="1"/>
  <c r="B14" i="6"/>
  <c r="B9" i="14"/>
  <c r="B8" i="14"/>
  <c r="E48" i="4"/>
  <c r="D23" i="14" l="1"/>
  <c r="D27" i="14"/>
  <c r="C23" i="14"/>
  <c r="C27" i="14"/>
  <c r="C30" i="14"/>
  <c r="C19" i="14"/>
  <c r="D30" i="14"/>
  <c r="E30" i="14" s="1"/>
  <c r="D19" i="14"/>
  <c r="E19" i="14" s="1"/>
  <c r="D31" i="14"/>
  <c r="D22" i="14"/>
  <c r="D20" i="14"/>
  <c r="C22" i="14"/>
  <c r="C20" i="14"/>
  <c r="C24" i="14"/>
  <c r="C31" i="14"/>
  <c r="E31" i="14" s="1"/>
  <c r="D24" i="14"/>
  <c r="E24" i="14" s="1"/>
  <c r="C18" i="14"/>
  <c r="D21" i="14"/>
  <c r="D18" i="14"/>
  <c r="D17" i="14"/>
  <c r="C17" i="14"/>
  <c r="C21" i="14"/>
  <c r="S11" i="15"/>
  <c r="E49" i="4"/>
  <c r="E23" i="14" l="1"/>
  <c r="E20" i="14"/>
  <c r="E21" i="14"/>
  <c r="E22" i="14"/>
  <c r="E18" i="14"/>
  <c r="E17" i="14"/>
  <c r="E27" i="14"/>
  <c r="G48" i="4"/>
  <c r="E33" i="14" l="1"/>
  <c r="G49" i="4"/>
  <c r="G33" i="14" l="1"/>
  <c r="E35" i="14"/>
  <c r="E36" i="14" s="1"/>
  <c r="G35" i="14" l="1"/>
  <c r="G36" i="14"/>
  <c r="C3" i="12"/>
  <c r="AJ6" i="15" l="1"/>
  <c r="AJ7" i="15"/>
  <c r="AJ8" i="15"/>
  <c r="AJ9" i="15"/>
  <c r="L13" i="6"/>
  <c r="I8" i="11"/>
  <c r="A1" i="11"/>
  <c r="L14" i="6" l="1"/>
  <c r="AA14" i="6"/>
  <c r="AJ11" i="15"/>
  <c r="AJ17" i="15" s="1"/>
  <c r="AE13" i="6"/>
  <c r="P11" i="15"/>
  <c r="G10" i="10"/>
  <c r="I7" i="10"/>
  <c r="E9" i="10"/>
  <c r="AE11" i="15" l="1"/>
  <c r="AE15" i="6"/>
  <c r="E3" i="12"/>
  <c r="K16" i="11"/>
  <c r="E14" i="10"/>
  <c r="I14" i="10" s="1"/>
  <c r="C14" i="10"/>
  <c r="K15" i="11" l="1"/>
  <c r="G3" i="12"/>
  <c r="H3" i="9" l="1"/>
  <c r="F3" i="9"/>
  <c r="D3" i="9"/>
  <c r="K23" i="8"/>
  <c r="C2" i="5" l="1"/>
  <c r="C40" i="4" l="1"/>
  <c r="C41" i="4"/>
  <c r="G29" i="2"/>
  <c r="G13" i="2"/>
  <c r="G12" i="2"/>
  <c r="G10" i="2"/>
  <c r="G9" i="2"/>
  <c r="C37" i="4" l="1"/>
  <c r="C43" i="4"/>
  <c r="D35" i="4" l="1"/>
  <c r="D12" i="4"/>
  <c r="D31" i="4"/>
  <c r="D33" i="4"/>
  <c r="D26" i="4"/>
  <c r="D15" i="4"/>
  <c r="D20" i="4"/>
  <c r="D11" i="4"/>
  <c r="D27" i="4"/>
  <c r="D32" i="4"/>
  <c r="D22" i="4"/>
  <c r="D34" i="4"/>
  <c r="D10" i="4"/>
  <c r="G10" i="4" s="1"/>
  <c r="D24" i="4"/>
  <c r="D25" i="4"/>
  <c r="D13" i="4"/>
  <c r="D16" i="4"/>
  <c r="D29" i="4"/>
  <c r="D30" i="4"/>
  <c r="D23" i="4"/>
  <c r="C45" i="4"/>
  <c r="D18" i="4"/>
  <c r="D21" i="4"/>
  <c r="D28" i="4"/>
  <c r="D19" i="4"/>
  <c r="D14" i="4"/>
  <c r="D17" i="4"/>
  <c r="E11" i="4" l="1"/>
  <c r="F11" i="4"/>
  <c r="G11" i="4"/>
  <c r="E25" i="4"/>
  <c r="I34" i="13" s="1"/>
  <c r="G34" i="13" s="1"/>
  <c r="F25" i="4"/>
  <c r="I35" i="13" s="1"/>
  <c r="G35" i="13" s="1"/>
  <c r="G25" i="4"/>
  <c r="I36" i="13" s="1"/>
  <c r="G36" i="13" s="1"/>
  <c r="G24" i="4"/>
  <c r="I30" i="13" s="1"/>
  <c r="G30" i="13" s="1"/>
  <c r="E24" i="4"/>
  <c r="I28" i="13" s="1"/>
  <c r="G28" i="13" s="1"/>
  <c r="F24" i="4"/>
  <c r="I29" i="13" s="1"/>
  <c r="G29" i="13" s="1"/>
  <c r="G34" i="4"/>
  <c r="E34" i="4"/>
  <c r="F34" i="4"/>
  <c r="E17" i="4"/>
  <c r="G17" i="4"/>
  <c r="F17" i="4"/>
  <c r="E14" i="4"/>
  <c r="F14" i="4"/>
  <c r="G14" i="4"/>
  <c r="E19" i="4"/>
  <c r="G19" i="4"/>
  <c r="F19" i="4"/>
  <c r="E28" i="4"/>
  <c r="F28" i="4"/>
  <c r="G28" i="4"/>
  <c r="F21" i="4"/>
  <c r="E21" i="4"/>
  <c r="G21" i="4"/>
  <c r="E23" i="4"/>
  <c r="I22" i="13" s="1"/>
  <c r="F23" i="4"/>
  <c r="G23" i="4"/>
  <c r="E12" i="4"/>
  <c r="F12" i="4"/>
  <c r="G12" i="4"/>
  <c r="F13" i="4"/>
  <c r="G13" i="4"/>
  <c r="E13" i="4"/>
  <c r="F10" i="4"/>
  <c r="E10" i="4"/>
  <c r="E22" i="4"/>
  <c r="F22" i="4"/>
  <c r="I17" i="13" s="1"/>
  <c r="G22" i="4"/>
  <c r="I18" i="13" s="1"/>
  <c r="E32" i="4"/>
  <c r="G32" i="4"/>
  <c r="F32" i="4"/>
  <c r="E27" i="4"/>
  <c r="F27" i="4"/>
  <c r="G27" i="4"/>
  <c r="E20" i="4"/>
  <c r="F20" i="4"/>
  <c r="G20" i="4"/>
  <c r="E18" i="4"/>
  <c r="F18" i="4"/>
  <c r="G18" i="4"/>
  <c r="E15" i="4"/>
  <c r="F15" i="4"/>
  <c r="G15" i="4"/>
  <c r="G26" i="4"/>
  <c r="I42" i="13" s="1"/>
  <c r="G42" i="13" s="1"/>
  <c r="E26" i="4"/>
  <c r="I40" i="13" s="1"/>
  <c r="G40" i="13" s="1"/>
  <c r="F26" i="4"/>
  <c r="I41" i="13" s="1"/>
  <c r="G41" i="13" s="1"/>
  <c r="E33" i="4"/>
  <c r="F33" i="4"/>
  <c r="G33" i="4"/>
  <c r="E30" i="4"/>
  <c r="G30" i="4"/>
  <c r="F30" i="4"/>
  <c r="E31" i="4"/>
  <c r="F31" i="4"/>
  <c r="G31" i="4"/>
  <c r="E29" i="4"/>
  <c r="F29" i="4"/>
  <c r="G29" i="4"/>
  <c r="E16" i="4"/>
  <c r="F16" i="4"/>
  <c r="G16" i="4"/>
  <c r="E35" i="4"/>
  <c r="F35" i="4"/>
  <c r="G35" i="4"/>
  <c r="I23" i="13"/>
  <c r="G23" i="13" s="1"/>
  <c r="I24" i="13"/>
  <c r="E4" i="12"/>
  <c r="E6" i="12" s="1"/>
  <c r="D41" i="4"/>
  <c r="D40" i="4"/>
  <c r="F37" i="4" l="1"/>
  <c r="F51" i="4" s="1"/>
  <c r="F40" i="4"/>
  <c r="C89" i="4"/>
  <c r="D89" i="4"/>
  <c r="C88" i="4"/>
  <c r="D88" i="4"/>
  <c r="C80" i="4"/>
  <c r="D80" i="4"/>
  <c r="D90" i="4"/>
  <c r="C90" i="4"/>
  <c r="C81" i="4"/>
  <c r="D81" i="4"/>
  <c r="D72" i="4"/>
  <c r="C72" i="4"/>
  <c r="C82" i="4"/>
  <c r="D82" i="4"/>
  <c r="C73" i="4"/>
  <c r="D73" i="4"/>
  <c r="D74" i="4"/>
  <c r="C74" i="4"/>
  <c r="C65" i="4"/>
  <c r="D65" i="4"/>
  <c r="G37" i="4"/>
  <c r="G51" i="4" s="1"/>
  <c r="E37" i="4"/>
  <c r="E51" i="4" s="1"/>
  <c r="E40" i="4"/>
  <c r="I10" i="13" s="1"/>
  <c r="I16" i="13"/>
  <c r="G16" i="13" s="1"/>
  <c r="E41" i="4"/>
  <c r="G24" i="13"/>
  <c r="G18" i="13"/>
  <c r="G22" i="13"/>
  <c r="G17" i="13"/>
  <c r="G31" i="13"/>
  <c r="E12" i="12"/>
  <c r="C4" i="12"/>
  <c r="D43" i="4"/>
  <c r="D45" i="4" s="1"/>
  <c r="G10" i="13" l="1"/>
  <c r="G46" i="13" s="1"/>
  <c r="I46" i="13"/>
  <c r="D97" i="4"/>
  <c r="C97" i="4"/>
  <c r="C75" i="4"/>
  <c r="C77" i="4" s="1"/>
  <c r="D75" i="4"/>
  <c r="D77" i="4" s="1"/>
  <c r="C64" i="4"/>
  <c r="D64" i="4"/>
  <c r="C58" i="4"/>
  <c r="D58" i="4"/>
  <c r="D66" i="4"/>
  <c r="C66" i="4"/>
  <c r="C57" i="4"/>
  <c r="D57" i="4"/>
  <c r="D56" i="4"/>
  <c r="C56" i="4"/>
  <c r="G25" i="13"/>
  <c r="G19" i="13"/>
  <c r="G4" i="12"/>
  <c r="G6" i="12" s="1"/>
  <c r="C6" i="12"/>
  <c r="C12" i="12" s="1"/>
  <c r="E43" i="4"/>
  <c r="C67" i="4" l="1"/>
  <c r="C69" i="4" s="1"/>
  <c r="D67" i="4"/>
  <c r="D69" i="4" s="1"/>
  <c r="C59" i="4"/>
  <c r="D59" i="4"/>
  <c r="K46" i="13"/>
  <c r="G12" i="12"/>
  <c r="E45" i="4"/>
  <c r="L46" i="13" l="1"/>
  <c r="D61" i="4" l="1"/>
  <c r="E69" i="4" l="1"/>
  <c r="C61" i="4"/>
  <c r="E61" i="4" s="1"/>
  <c r="E77" i="4"/>
  <c r="H37" i="4" l="1"/>
  <c r="H21" i="4" s="1"/>
  <c r="H17" i="4" l="1"/>
  <c r="H18" i="4"/>
  <c r="H32" i="4"/>
  <c r="H29" i="4"/>
  <c r="H22" i="4"/>
  <c r="H23" i="4"/>
  <c r="H20" i="4"/>
  <c r="H26" i="4"/>
  <c r="H27" i="4"/>
  <c r="H28" i="4"/>
  <c r="H24" i="4"/>
  <c r="H33" i="4"/>
  <c r="H19" i="4"/>
  <c r="H31" i="4"/>
  <c r="H35" i="4"/>
  <c r="H25" i="4"/>
  <c r="H34" i="4"/>
  <c r="H30" i="4"/>
  <c r="H40" i="4" l="1"/>
  <c r="G40" i="4"/>
  <c r="H41" i="4"/>
  <c r="F41" i="4"/>
  <c r="G41" i="4"/>
  <c r="H43" i="4" l="1"/>
  <c r="H45" i="4" s="1"/>
  <c r="F43" i="4"/>
  <c r="F45" i="4" s="1"/>
  <c r="I12" i="13"/>
  <c r="G43" i="4"/>
  <c r="G45" i="4" s="1"/>
  <c r="I11" i="13"/>
  <c r="G43" i="13"/>
  <c r="G37" i="13"/>
  <c r="G11" i="13" l="1"/>
  <c r="G47" i="13" s="1"/>
  <c r="I47" i="13"/>
  <c r="C13" i="5" s="1"/>
  <c r="G12" i="13"/>
  <c r="G48" i="13" s="1"/>
  <c r="I48" i="13"/>
  <c r="E13" i="5" s="1"/>
  <c r="C98" i="4"/>
  <c r="D98" i="4"/>
  <c r="C99" i="4"/>
  <c r="D99" i="4"/>
  <c r="C91" i="4"/>
  <c r="C93" i="4" s="1"/>
  <c r="D91" i="4"/>
  <c r="D93" i="4" s="1"/>
  <c r="C83" i="4"/>
  <c r="C85" i="4" s="1"/>
  <c r="D83" i="4"/>
  <c r="D85" i="4" s="1"/>
  <c r="K48" i="13"/>
  <c r="G13" i="13"/>
  <c r="K47" i="13"/>
  <c r="G49" i="13" l="1"/>
  <c r="K49" i="13" s="1"/>
  <c r="C100" i="4"/>
  <c r="C102" i="4" s="1"/>
  <c r="D100" i="4"/>
  <c r="D102" i="4" s="1"/>
  <c r="E93" i="4"/>
  <c r="E85" i="4"/>
  <c r="I60" i="13"/>
  <c r="I64" i="13"/>
  <c r="I63" i="13"/>
  <c r="I61" i="13"/>
  <c r="I62" i="13"/>
  <c r="I54" i="13"/>
  <c r="I58" i="13"/>
  <c r="I55" i="13"/>
  <c r="I59" i="13"/>
  <c r="I56" i="13"/>
  <c r="I53" i="13"/>
  <c r="I57" i="13"/>
  <c r="L48" i="13"/>
  <c r="L47" i="13"/>
  <c r="E102" i="4" l="1"/>
  <c r="G67" i="13"/>
  <c r="N60" i="4"/>
  <c r="I65" i="13"/>
  <c r="I6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 Financial Statements.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MCO</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G10" authorId="1" shapeId="0" xr:uid="{7F4A9717-F538-479D-AFF6-58C75BCFC0C1}">
      <text>
        <r>
          <rPr>
            <b/>
            <sz val="9"/>
            <color indexed="81"/>
            <rFont val="Tahoma"/>
            <family val="2"/>
          </rPr>
          <t>Note:</t>
        </r>
        <r>
          <rPr>
            <sz val="9"/>
            <color indexed="81"/>
            <rFont val="Tahoma"/>
            <family val="2"/>
          </rPr>
          <t xml:space="preserve">
Rounded</t>
        </r>
      </text>
    </comment>
    <comment ref="B22" authorId="2"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2019 </t>
        </r>
        <r>
          <rPr>
            <sz val="9"/>
            <color indexed="10"/>
            <rFont val="Tahoma"/>
            <family val="2"/>
          </rPr>
          <t xml:space="preserve">"Total Defined Benefit Pension" </t>
        </r>
        <r>
          <rPr>
            <sz val="9"/>
            <color indexed="81"/>
            <rFont val="Tahoma"/>
            <family val="2"/>
          </rPr>
          <t>column.</t>
        </r>
        <r>
          <rPr>
            <sz val="9"/>
            <color indexed="10"/>
            <rFont val="Tahoma"/>
            <family val="2"/>
          </rPr>
          <t xml:space="preserve"> </t>
        </r>
        <r>
          <rPr>
            <sz val="9"/>
            <color indexed="81"/>
            <rFont val="Tahoma"/>
            <family val="2"/>
          </rPr>
          <t>Round, if necessary
You can also get it from PY GASB 68 workpaper cell C32 in the "State Schedule" tab.</t>
        </r>
      </text>
    </comment>
    <comment ref="A54" authorId="3"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2019" it is the "Benefit" less "Transition Liability Contributions Principal Payments (if applicable)" use the link from F31 to find that report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00000000-0006-0000-0400-000001000000}">
      <text>
        <r>
          <rPr>
            <b/>
            <sz val="9"/>
            <color indexed="81"/>
            <rFont val="Tahoma"/>
            <family val="2"/>
          </rPr>
          <t>Note:</t>
        </r>
        <r>
          <rPr>
            <sz val="9"/>
            <color indexed="81"/>
            <rFont val="Tahoma"/>
            <family val="2"/>
          </rPr>
          <t xml:space="preserve">
This comes from PY Exhibit B (MCO updated for 2020)</t>
        </r>
      </text>
    </comment>
    <comment ref="B18" authorId="1" shapeId="0" xr:uid="{DA28FBAB-A656-4D23-897E-0649BB2C4DD6}">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19" authorId="1" shapeId="0" xr:uid="{A4AF2B61-3AB2-47AC-AC9D-38D5561D68EE}">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0" authorId="1" shapeId="0" xr:uid="{1408D982-BA89-4CEE-8175-063E30271930}">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1" authorId="0" shapeId="0" xr:uid="{00000000-0006-0000-0400-000002000000}">
      <text>
        <r>
          <rPr>
            <b/>
            <sz val="9"/>
            <color indexed="81"/>
            <rFont val="Tahoma"/>
            <family val="2"/>
          </rPr>
          <t>Note:</t>
        </r>
        <r>
          <rPr>
            <sz val="9"/>
            <color indexed="81"/>
            <rFont val="Tahoma"/>
            <family val="2"/>
          </rPr>
          <t xml:space="preserve">
This comes from PY Exhibit B</t>
        </r>
      </text>
    </comment>
    <comment ref="B22" authorId="1" shapeId="0" xr:uid="{B121DF38-95D4-40E8-9C5F-146A0B5E431B}">
      <text>
        <r>
          <rPr>
            <sz val="9"/>
            <color indexed="81"/>
            <rFont val="Tahoma"/>
            <family val="2"/>
          </rPr>
          <t>Note:
This comes from PY Exhibit B</t>
        </r>
      </text>
    </comment>
    <comment ref="B23" authorId="1" shapeId="0" xr:uid="{74343454-76B8-411F-AE33-F9F107527B00}">
      <text>
        <r>
          <rPr>
            <b/>
            <sz val="9"/>
            <color indexed="81"/>
            <rFont val="Tahoma"/>
            <family val="2"/>
          </rPr>
          <t xml:space="preserve">Note:
</t>
        </r>
        <r>
          <rPr>
            <sz val="9"/>
            <color indexed="81"/>
            <rFont val="Tahoma"/>
            <family val="2"/>
          </rPr>
          <t xml:space="preserve">This comes from PY Exhibit B
</t>
        </r>
      </text>
    </comment>
    <comment ref="B24"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5"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7" authorId="2" shapeId="0" xr:uid="{2DC9918F-9AAB-42DF-A548-F50940DF6B3B}">
      <text>
        <r>
          <rPr>
            <b/>
            <sz val="9"/>
            <color indexed="81"/>
            <rFont val="Tahoma"/>
            <family val="2"/>
          </rPr>
          <t>Note:</t>
        </r>
        <r>
          <rPr>
            <sz val="9"/>
            <color indexed="81"/>
            <rFont val="Tahoma"/>
            <family val="2"/>
          </rPr>
          <t xml:space="preserve">
This amount comes from PY Exibit C </t>
        </r>
      </text>
    </comment>
    <comment ref="B30" authorId="1" shapeId="0" xr:uid="{61B0FB38-1E25-4BF3-B0BF-A493E7FDE64D}">
      <text>
        <r>
          <rPr>
            <b/>
            <sz val="9"/>
            <color indexed="81"/>
            <rFont val="Tahoma"/>
            <family val="2"/>
          </rPr>
          <t xml:space="preserve">Note:
</t>
        </r>
        <r>
          <rPr>
            <sz val="9"/>
            <color indexed="81"/>
            <rFont val="Tahoma"/>
            <family val="2"/>
          </rPr>
          <t xml:space="preserve">This comes from PY Exhibit B
</t>
        </r>
      </text>
    </comment>
    <comment ref="B31" authorId="1" shapeId="0" xr:uid="{01F6334B-12A0-4143-A943-BEF994C600C5}">
      <text>
        <r>
          <rPr>
            <b/>
            <sz val="9"/>
            <color indexed="81"/>
            <rFont val="Tahoma"/>
            <family val="2"/>
          </rPr>
          <t xml:space="preserve">Note:
</t>
        </r>
        <r>
          <rPr>
            <sz val="9"/>
            <color indexed="81"/>
            <rFont val="Tahoma"/>
            <family val="2"/>
          </rPr>
          <t xml:space="preserve">This comes from PY Exhibit B
</t>
        </r>
      </text>
    </comment>
    <comment ref="E33" authorId="2" shapeId="0" xr:uid="{7FED3EC4-F6E1-471C-98A9-196A8CF410D2}">
      <text>
        <r>
          <rPr>
            <b/>
            <sz val="9"/>
            <color indexed="81"/>
            <rFont val="Tahoma"/>
            <family val="2"/>
          </rPr>
          <t>Note:</t>
        </r>
        <r>
          <rPr>
            <sz val="9"/>
            <color indexed="81"/>
            <rFont val="Tahoma"/>
            <family val="2"/>
          </rPr>
          <t xml:space="preserve">
Rounded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MCO</author>
    <author>Matthew Apken</author>
  </authors>
  <commentList>
    <comment ref="B6" authorId="0" shapeId="0" xr:uid="{32755674-FDE2-40B1-8FC5-939D2798B8F1}">
      <text>
        <r>
          <rPr>
            <b/>
            <sz val="9"/>
            <color indexed="81"/>
            <rFont val="Tahoma"/>
            <family val="2"/>
          </rPr>
          <t>MCO:</t>
        </r>
        <r>
          <rPr>
            <sz val="9"/>
            <color indexed="81"/>
            <rFont val="Tahoma"/>
            <family val="2"/>
          </rPr>
          <t xml:space="preserve">
Total is Difference in experience comes from Exhibit D on 'From PERS' Tab</t>
        </r>
      </text>
    </comment>
    <comment ref="B12" authorId="1" shapeId="0" xr:uid="{00000000-0006-0000-0600-000001000000}">
      <text>
        <r>
          <rPr>
            <b/>
            <sz val="9"/>
            <color indexed="81"/>
            <rFont val="Tahoma"/>
            <family val="2"/>
          </rPr>
          <t>Note:</t>
        </r>
        <r>
          <rPr>
            <sz val="9"/>
            <color indexed="81"/>
            <rFont val="Tahoma"/>
            <family val="2"/>
          </rPr>
          <t xml:space="preserve">
Round last number to match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Tonya Moffitt</author>
  </authors>
  <commentList>
    <comment ref="N8" authorId="0" shapeId="0" xr:uid="{00000000-0006-0000-0900-000001000000}">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 ref="N9" authorId="0" shapeId="0" xr:uid="{00000000-0006-0000-0900-000002000000}">
      <text>
        <r>
          <rPr>
            <b/>
            <sz val="9"/>
            <color indexed="81"/>
            <rFont val="Tahoma"/>
            <family val="2"/>
          </rPr>
          <t xml:space="preserve">Note:
</t>
        </r>
        <r>
          <rPr>
            <sz val="9"/>
            <color indexed="81"/>
            <rFont val="Tahoma"/>
            <family val="2"/>
          </rPr>
          <t xml:space="preserve">Adjust by.01 to make total equal 100%
</t>
        </r>
      </text>
    </comment>
    <comment ref="N11" authorId="0" shapeId="0" xr:uid="{E3D57C3B-04E1-4471-8465-D2075355E67E}">
      <text>
        <r>
          <rPr>
            <b/>
            <sz val="9"/>
            <color indexed="81"/>
            <rFont val="Tahoma"/>
            <family val="2"/>
          </rPr>
          <t xml:space="preserve">Note:
</t>
        </r>
        <r>
          <rPr>
            <sz val="9"/>
            <color indexed="81"/>
            <rFont val="Tahoma"/>
            <family val="2"/>
          </rPr>
          <t xml:space="preserve">Adjust by.01 to make total equal 100%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K20" authorId="0" shapeId="0" xr:uid="{8F3B4052-720E-47BC-90CB-DC0962881CF1}">
      <text>
        <r>
          <rPr>
            <sz val="9"/>
            <color indexed="81"/>
            <rFont val="Tahoma"/>
            <family val="2"/>
          </rPr>
          <t>This was calculated using the information in the RSI of the OPERS CAFR. In the schedule of changes in net pension (asset)/Liability and related ratios (unaudited)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Tonya Moffitt</author>
    <author>Matthew Apken</author>
  </authors>
  <commentList>
    <comment ref="C12" authorId="0" shapeId="0" xr:uid="{C70BBAE7-F4AA-4B2A-9F90-010E93D13680}">
      <text>
        <r>
          <rPr>
            <b/>
            <sz val="9"/>
            <color indexed="81"/>
            <rFont val="Tahoma"/>
            <charset val="1"/>
          </rPr>
          <t>Note:</t>
        </r>
        <r>
          <rPr>
            <sz val="9"/>
            <color indexed="81"/>
            <rFont val="Tahoma"/>
            <charset val="1"/>
          </rPr>
          <t xml:space="preserve">
If entity did a "Lump Sum Payment" on Cash Contributions Posted Subsequent to Measurement Date needs to be subtracted out here.</t>
        </r>
      </text>
    </comment>
    <comment ref="E12" authorId="0" shapeId="0" xr:uid="{C0F3FD7E-9816-481D-8AC4-24F47A9CE5A4}">
      <text>
        <r>
          <rPr>
            <b/>
            <sz val="9"/>
            <color indexed="81"/>
            <rFont val="Tahoma"/>
            <charset val="1"/>
          </rPr>
          <t>Note:</t>
        </r>
        <r>
          <rPr>
            <sz val="9"/>
            <color indexed="81"/>
            <rFont val="Tahoma"/>
            <charset val="1"/>
          </rPr>
          <t xml:space="preserve">
If entity did a "Lump Sum Payment" on Cash Contributions Posted Subsequent to Measurement Date needs to be added here.</t>
        </r>
      </text>
    </comment>
    <comment ref="I12" authorId="1" shapeId="0" xr:uid="{6828A49A-AA90-42A5-97D9-D93190A9B092}">
      <text>
        <r>
          <rPr>
            <b/>
            <sz val="9"/>
            <color indexed="81"/>
            <rFont val="Tahoma"/>
            <family val="2"/>
          </rPr>
          <t>Note:</t>
        </r>
        <r>
          <rPr>
            <sz val="9"/>
            <color indexed="81"/>
            <rFont val="Tahoma"/>
            <family val="2"/>
          </rPr>
          <t xml:space="preserve">
This is the covered payroll amount paid in the prior year 7/1/18-6/30/19.  The net pension asset or liability determination is one year old; it was determined as of the measurement date</t>
        </r>
      </text>
    </comment>
  </commentList>
</comments>
</file>

<file path=xl/sharedStrings.xml><?xml version="1.0" encoding="utf-8"?>
<sst xmlns="http://schemas.openxmlformats.org/spreadsheetml/2006/main" count="885" uniqueCount="424">
  <si>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</si>
  <si>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</si>
  <si>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</si>
  <si>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</si>
  <si>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</si>
  <si>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</si>
  <si>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</si>
  <si>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</si>
  <si>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</si>
  <si>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</si>
  <si>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</si>
  <si>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</si>
  <si>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</si>
  <si>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</si>
  <si>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</si>
  <si>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</si>
  <si>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</si>
  <si>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</si>
  <si>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</si>
  <si>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</si>
  <si>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</si>
  <si>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</si>
  <si>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</si>
  <si>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</si>
  <si>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</si>
  <si>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</si>
  <si>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</si>
  <si>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</si>
  <si>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</si>
  <si>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</si>
  <si>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</si>
  <si>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</si>
  <si>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</si>
  <si>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</si>
  <si>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</si>
  <si>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</si>
  <si>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</si>
  <si>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</si>
  <si>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</si>
  <si>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</si>
  <si>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</si>
  <si>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</si>
  <si>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</si>
  <si>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</si>
  <si>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</si>
  <si>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</si>
  <si>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</si>
  <si>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</si>
  <si>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</si>
  <si>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</si>
  <si>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</si>
  <si>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</si>
  <si>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</si>
  <si>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</si>
  <si>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</si>
  <si>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</si>
  <si>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</si>
  <si>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</si>
  <si>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</si>
  <si>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</si>
  <si>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</si>
  <si>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</si>
  <si>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</si>
  <si>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</si>
  <si>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</si>
  <si>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</si>
  <si>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</si>
  <si>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</si>
  <si>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</si>
  <si>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</si>
  <si>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</si>
  <si>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</si>
  <si>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</si>
  <si>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</si>
  <si>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</si>
  <si>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Short-Term Bonds</t>
  </si>
  <si>
    <t>High Yield Bonds</t>
  </si>
  <si>
    <t>Small Cap US Equities</t>
  </si>
  <si>
    <t>Developed Foreign Equities</t>
  </si>
  <si>
    <t>Emerging Foreign Equities</t>
  </si>
  <si>
    <t>Private Equities</t>
  </si>
  <si>
    <t>Real Estate (Property)</t>
  </si>
  <si>
    <t>Real Estate (REITS)</t>
  </si>
  <si>
    <t>Commodities</t>
  </si>
  <si>
    <t>Assumed Inflation - Mean</t>
  </si>
  <si>
    <t>SCHEDULE OF THE PROPORTIONATE SHARE OF THE NET PENSION LIABILITY</t>
  </si>
  <si>
    <t>(a)</t>
  </si>
  <si>
    <t>(b)</t>
  </si>
  <si>
    <t>(b/c)</t>
  </si>
  <si>
    <t>Plan fiduciary</t>
  </si>
  <si>
    <t>(c)</t>
  </si>
  <si>
    <t>net position as</t>
  </si>
  <si>
    <t>Year</t>
  </si>
  <si>
    <t xml:space="preserve">proportion of </t>
  </si>
  <si>
    <t>proportionate share</t>
  </si>
  <si>
    <t xml:space="preserve">a percentage of </t>
  </si>
  <si>
    <t>Ended</t>
  </si>
  <si>
    <t xml:space="preserve"> the net pension</t>
  </si>
  <si>
    <t xml:space="preserve"> of the net pension</t>
  </si>
  <si>
    <t>covered</t>
  </si>
  <si>
    <t>of covered</t>
  </si>
  <si>
    <t>the total pension</t>
  </si>
  <si>
    <t>June 30,</t>
  </si>
  <si>
    <t>payroll</t>
  </si>
  <si>
    <t>liability</t>
  </si>
  <si>
    <t xml:space="preserve">Contributions in </t>
  </si>
  <si>
    <t>Contributions</t>
  </si>
  <si>
    <t>Statutorily</t>
  </si>
  <si>
    <t xml:space="preserve">relation to the </t>
  </si>
  <si>
    <t>Contribution</t>
  </si>
  <si>
    <t>as a percent</t>
  </si>
  <si>
    <t xml:space="preserve">required </t>
  </si>
  <si>
    <t>statutorily required</t>
  </si>
  <si>
    <t>deficiency</t>
  </si>
  <si>
    <t>contribution</t>
  </si>
  <si>
    <t>(excess)</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</si>
  <si>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</si>
  <si>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</si>
  <si>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</si>
  <si>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</si>
  <si>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</si>
  <si>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</si>
  <si>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</si>
  <si>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</si>
  <si>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Contribution vs</t>
  </si>
  <si>
    <t xml:space="preserve">Proportionate </t>
  </si>
  <si>
    <t>Total adjustment</t>
  </si>
  <si>
    <t>The amounts presented for each fiscal year were actuarial determined at December 31 and rolled forward to the measurement date.</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</si>
  <si>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</si>
  <si>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</si>
  <si>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</si>
  <si>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</si>
  <si>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</si>
  <si>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</si>
  <si>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</si>
  <si>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</si>
  <si>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</si>
  <si>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</si>
  <si>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</si>
  <si>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</si>
  <si>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</si>
  <si>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</si>
  <si>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</si>
  <si>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</si>
  <si>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</si>
  <si>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</si>
  <si>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</si>
  <si>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</si>
  <si>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</si>
  <si>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</si>
  <si>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</si>
  <si>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</si>
  <si>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</si>
  <si>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</si>
  <si>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</si>
  <si>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t>Share of Contrib.</t>
  </si>
  <si>
    <t>Enterprise Activities</t>
  </si>
  <si>
    <t>City's</t>
  </si>
  <si>
    <t>liability (asset)</t>
  </si>
  <si>
    <t>proportionate share of the net pension liability (asset) as a percentage of its covered payroll</t>
  </si>
  <si>
    <t>(a-b)</t>
  </si>
  <si>
    <t>Net Pension Liability</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</si>
  <si>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</si>
  <si>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</si>
  <si>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</si>
  <si>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</si>
  <si>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</si>
  <si>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</si>
  <si>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</si>
  <si>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</si>
  <si>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</si>
  <si>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</si>
  <si>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</si>
  <si>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</si>
  <si>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</si>
  <si>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</si>
  <si>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</si>
  <si>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</si>
  <si>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</si>
  <si>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</si>
  <si>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</si>
  <si>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</si>
  <si>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</si>
  <si>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</si>
  <si>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TB</t>
  </si>
  <si>
    <t>Governmental Pension Expense by Function</t>
  </si>
  <si>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</si>
  <si>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</si>
  <si>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</si>
  <si>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</si>
  <si>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</si>
  <si>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</si>
  <si>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</si>
  <si>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</si>
  <si>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</si>
  <si>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</si>
  <si>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</si>
  <si>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</si>
  <si>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</si>
  <si>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</si>
  <si>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</si>
  <si>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</si>
  <si>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</si>
  <si>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</si>
  <si>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</si>
  <si>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</si>
  <si>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</si>
  <si>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</si>
  <si>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</si>
  <si>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</si>
  <si>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</si>
  <si>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</si>
  <si>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FY2019</t>
  </si>
  <si>
    <t>FY2020</t>
  </si>
  <si>
    <t>FY2021</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</si>
  <si>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</si>
  <si>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</si>
  <si>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</si>
  <si>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</si>
  <si>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</si>
  <si>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</si>
  <si>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</si>
  <si>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</si>
  <si>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</si>
  <si>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</si>
  <si>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</si>
  <si>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Year 2-6, Deferred Outflow (Inflow)</t>
  </si>
  <si>
    <t>Deferred Inflows</t>
  </si>
  <si>
    <t>PY deferred outflow</t>
  </si>
  <si>
    <t>EXHIBIT B</t>
  </si>
  <si>
    <t>Investment (gains) or Losses</t>
  </si>
  <si>
    <t>Original Amount</t>
  </si>
  <si>
    <t>Measurement Period in Which Experience Arose</t>
  </si>
  <si>
    <t>Original Recognition</t>
  </si>
  <si>
    <t>Amount Recognized thereafter in Expense</t>
  </si>
  <si>
    <t>2014-2015</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</si>
  <si>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</si>
  <si>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</si>
  <si>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</si>
  <si>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</si>
  <si>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</si>
  <si>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</si>
  <si>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</si>
  <si>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</si>
  <si>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Long-Term Expected Rate of Return</t>
  </si>
  <si>
    <t>Discount Rate</t>
  </si>
  <si>
    <t>Cost of Living Adjustments (COLA)</t>
  </si>
  <si>
    <t>Measurement Date</t>
  </si>
  <si>
    <t>Difference in earnings</t>
  </si>
  <si>
    <t>Difference in experience</t>
  </si>
  <si>
    <t>Change in proportionate share</t>
  </si>
  <si>
    <t>Year of inception</t>
  </si>
  <si>
    <t>Difference in Contributions</t>
  </si>
  <si>
    <t>Change in Proportionate Share</t>
  </si>
  <si>
    <t>Exhibit H actual contributions</t>
  </si>
  <si>
    <t xml:space="preserve">Total   </t>
  </si>
  <si>
    <t>PY</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</si>
  <si>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</si>
  <si>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</si>
  <si>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</si>
  <si>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</si>
  <si>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</si>
  <si>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</si>
  <si>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</si>
  <si>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t>City of***</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</si>
  <si>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</si>
  <si>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</si>
  <si>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City of XXX</t>
  </si>
  <si>
    <t>SLGRP</t>
  </si>
  <si>
    <t>Proportion</t>
  </si>
  <si>
    <t>CITY OF ***, OREGON</t>
  </si>
  <si>
    <t>For additional governmental funds</t>
  </si>
  <si>
    <t>For additional enterprise funds</t>
  </si>
  <si>
    <t>Assumed Asset Allocation</t>
  </si>
  <si>
    <t>Asset Class/Strategy</t>
  </si>
  <si>
    <t>Low Range</t>
  </si>
  <si>
    <t>High Range</t>
  </si>
  <si>
    <t>Target</t>
  </si>
  <si>
    <t>Debt Securities</t>
  </si>
  <si>
    <t>Public Equity</t>
  </si>
  <si>
    <t>Private Equity</t>
  </si>
  <si>
    <t>Real Estate</t>
  </si>
  <si>
    <t>Alternative Equity</t>
  </si>
  <si>
    <t>Opportunity Portfolio</t>
  </si>
  <si>
    <t>Pension Expense/(income) per lead sheet</t>
  </si>
  <si>
    <t>RECONCILIATION TO PENSION EXPENSE FROM STATE SCHEDULE TO ADJUSTMENT</t>
  </si>
  <si>
    <t>DIFFERENCE BETWEEN LAST YEARS CONTRIBUTIONS AFTER MEASURMENT DATE AND CURRENT YEAR</t>
  </si>
  <si>
    <t>Measurement</t>
  </si>
  <si>
    <t>Date</t>
  </si>
  <si>
    <t>Electric</t>
  </si>
  <si>
    <t>Emergency Services</t>
  </si>
  <si>
    <t>Sewer</t>
  </si>
  <si>
    <t>Water</t>
  </si>
  <si>
    <t>2015-2016</t>
  </si>
  <si>
    <t>Assumption Changes or inputs</t>
  </si>
  <si>
    <t>Y</t>
  </si>
  <si>
    <t>FY2022</t>
  </si>
  <si>
    <t>Change in assumption</t>
  </si>
  <si>
    <t>Net Pension Asset*</t>
  </si>
  <si>
    <t xml:space="preserve"> - from Contributions &gt; MD**</t>
  </si>
  <si>
    <t>Difference Between Expected and Actual Experience</t>
  </si>
  <si>
    <t>This schedule is available online at the link below</t>
  </si>
  <si>
    <t>2.50 percent</t>
  </si>
  <si>
    <t>7.50 percent</t>
  </si>
  <si>
    <t>3.50 percent overall payroll growth</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</si>
  <si>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</si>
  <si>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</si>
  <si>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Bank/Leveraged Loans</t>
  </si>
  <si>
    <t>Large/Mid Cap US Equities</t>
  </si>
  <si>
    <t>Micro Cap US Equities</t>
  </si>
  <si>
    <t>Non-US Small Cap Equities</t>
  </si>
  <si>
    <t>Hedge Fund of Funds - Diversified</t>
  </si>
  <si>
    <t>Hedge Fund - Event-Driven</t>
  </si>
  <si>
    <t>Timber</t>
  </si>
  <si>
    <t>Farmland</t>
  </si>
  <si>
    <t>Infrastructure</t>
  </si>
  <si>
    <t>Year ended June 30:</t>
  </si>
  <si>
    <t>Thereafter</t>
  </si>
  <si>
    <t>Net pension asset (liability)</t>
  </si>
  <si>
    <t>2016-2017</t>
  </si>
  <si>
    <t>FY2023</t>
  </si>
  <si>
    <t>Economic/demographic (gains) or losses</t>
  </si>
  <si>
    <r>
      <rPr>
        <vertAlign val="superscript"/>
        <sz val="10"/>
        <rFont val="Times New Roman"/>
        <family val="1"/>
      </rPr>
      <t>1</t>
    </r>
    <r>
      <rPr>
        <sz val="10"/>
        <rFont val="Times New Roman"/>
        <family val="1"/>
      </rPr>
      <t>This schedule is presented to illustrate the requirements to show information for 10 years.  However, until a full 10-year trend has been compiled, information is presented only for the years for which the required supplementary information is available.</t>
    </r>
  </si>
  <si>
    <t>NOTES TO SCHEDULE</t>
  </si>
  <si>
    <t>Changes in Benefit Terms:</t>
  </si>
  <si>
    <t xml:space="preserve">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 </t>
  </si>
  <si>
    <t>Changes of Assumptions:</t>
  </si>
  <si>
    <t>Actuarial Assumptions and Methods Used to Set the Actuarially Determined Contributions</t>
  </si>
  <si>
    <t>Effective:</t>
  </si>
  <si>
    <t>Actuarial cost method:</t>
  </si>
  <si>
    <t>Amortization method:</t>
  </si>
  <si>
    <t>Asset valuation method:</t>
  </si>
  <si>
    <t>Remaining amortization periods:</t>
  </si>
  <si>
    <t>Actuarial assumptions</t>
  </si>
  <si>
    <t>Inflation rate</t>
  </si>
  <si>
    <t>Projected salary increases</t>
  </si>
  <si>
    <t>Investment rate of return</t>
  </si>
  <si>
    <t>Actuarial valuation:</t>
  </si>
  <si>
    <t>July 2015 - June 2017</t>
  </si>
  <si>
    <t>Level percentage of payroll</t>
  </si>
  <si>
    <t>Market value</t>
  </si>
  <si>
    <t>20 years</t>
  </si>
  <si>
    <t>2.75 percent</t>
  </si>
  <si>
    <t>3.75 percent</t>
  </si>
  <si>
    <t>7.75 percent</t>
  </si>
  <si>
    <t>July 2013 - June 2015</t>
  </si>
  <si>
    <t>Projected Unit Credit</t>
  </si>
  <si>
    <t>N/A</t>
  </si>
  <si>
    <t>8.00 percent</t>
  </si>
  <si>
    <t xml:space="preserve"> - from Diff in Earnings* (2015-2016)</t>
  </si>
  <si>
    <t xml:space="preserve"> - from Diff in Earnings* (2014-2015)</t>
  </si>
  <si>
    <t xml:space="preserve"> - from Diff in Experience* (2015-2016)</t>
  </si>
  <si>
    <t xml:space="preserve"> - from Diff in Experience* (2014-2015)</t>
  </si>
  <si>
    <t xml:space="preserve"> - from Diff in Assumption* (2015-2016)</t>
  </si>
  <si>
    <t>Exhibit H</t>
  </si>
  <si>
    <t>Exhibit I</t>
  </si>
  <si>
    <t>Balance 6/30/19</t>
  </si>
  <si>
    <r>
      <rPr>
        <sz val="11"/>
        <color rgb="FF0F0F0F"/>
        <rFont val="Times New Roman"/>
        <family val="1"/>
      </rPr>
      <t>o    Changes in proportionate share</t>
    </r>
    <r>
      <rPr>
        <sz val="11"/>
        <color rgb="FF000000"/>
        <rFont val="Times New Roman"/>
        <family val="1"/>
      </rPr>
      <t xml:space="preserve"> (per paragraph 55 of GASB 68)</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</si>
  <si>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r>
      <rPr>
        <sz val="11"/>
        <color rgb="FF000000"/>
        <rFont val="Times New Roman"/>
        <family val="1"/>
      </rPr>
      <t xml:space="preserve"> (per paragraph 55 of GASB 68)</t>
    </r>
  </si>
  <si>
    <t>2017-2018</t>
  </si>
  <si>
    <t>FY2024</t>
  </si>
  <si>
    <r>
      <t xml:space="preserve">Proportionate Share, FY </t>
    </r>
    <r>
      <rPr>
        <sz val="10"/>
        <color rgb="FF0000FF"/>
        <rFont val="Verdana"/>
        <family val="2"/>
      </rPr>
      <t>2019</t>
    </r>
  </si>
  <si>
    <t xml:space="preserve"> - from Diff in Earnings* (2016-2017)</t>
  </si>
  <si>
    <t xml:space="preserve"> - from Diff in Experience* (2016-2017)</t>
  </si>
  <si>
    <t>Need to be updated by client</t>
  </si>
  <si>
    <t>Not updated yet</t>
  </si>
  <si>
    <t>2016, published July 26, 2017</t>
  </si>
  <si>
    <t>7.20 percent</t>
  </si>
  <si>
    <r>
      <rPr>
        <b/>
        <sz val="11"/>
        <color theme="1"/>
        <rFont val="Times New Roman"/>
        <family val="1"/>
      </rPr>
      <t>Active Members:</t>
    </r>
    <r>
      <rPr>
        <sz val="11"/>
        <color theme="1"/>
        <rFont val="Times New Roman"/>
        <family val="1"/>
      </rPr>
      <t xml:space="preserve"> RP-2014 Employees, sex-distinct, generational with Unisex, Social Security Data Scale, with collar adjustments and set-backs as described in the valuation.</t>
    </r>
  </si>
  <si>
    <r>
      <rPr>
        <b/>
        <sz val="11"/>
        <color theme="1"/>
        <rFont val="Times New Roman"/>
        <family val="1"/>
      </rPr>
      <t>Disabled retirees:</t>
    </r>
    <r>
      <rPr>
        <sz val="11"/>
        <color theme="1"/>
        <rFont val="Times New Roman"/>
        <family val="1"/>
      </rPr>
      <t xml:space="preserve"> RP-2014 Disabled retirees, sex-distinct, generational with Unisex, Social Security Data Scale.</t>
    </r>
  </si>
  <si>
    <t xml:space="preserve">The PERS Board adopted assumption changes that were used to measure the June 30, 2016 total pension liability and June 30, 2018 total pension liability. For June 30, 2016, the changes included the lowering of the long-term expected rate of return to 7.50 percent and lowering of the assumed inflation to 2.50 percent. For June 30, 2018, the long-term expected rate of return was lowered to 7.20 percent. In addition, the healthy mortality assumption was changed to reflect an updated mortality improvement scale for all groups, and assumptions were updated for merit increases, unused sick leave, and vacation pay were updated.
</t>
  </si>
  <si>
    <t>July 2017 - June 2019</t>
  </si>
  <si>
    <t>3.50 percent</t>
  </si>
  <si>
    <r>
      <rPr>
        <sz val="12"/>
        <color rgb="FF0000FF"/>
        <rFont val="Times New Roman"/>
        <family val="1"/>
      </rPr>
      <t>City</t>
    </r>
    <r>
      <rPr>
        <sz val="12"/>
        <color theme="1"/>
        <rFont val="Times New Roman"/>
        <family val="1"/>
      </rPr>
      <t>'s proportionate share of the net pension liability (asset)</t>
    </r>
  </si>
  <si>
    <t>2018-2019</t>
  </si>
  <si>
    <t>https://www.oregon.gov/pers/EMP/Documents/GASB/2020/GASB68-Exhibits-6-30-2019.pdf</t>
  </si>
  <si>
    <t>FY2025</t>
  </si>
  <si>
    <r>
      <t xml:space="preserve">Amount Recognized in </t>
    </r>
    <r>
      <rPr>
        <sz val="11"/>
        <color rgb="FF0000FF"/>
        <rFont val="Calibri"/>
        <family val="2"/>
        <scheme val="minor"/>
      </rPr>
      <t>6/30/2019</t>
    </r>
    <r>
      <rPr>
        <sz val="11"/>
        <rFont val="Calibri"/>
        <family val="2"/>
        <scheme val="minor"/>
      </rPr>
      <t xml:space="preserve"> Expense</t>
    </r>
  </si>
  <si>
    <r>
      <t>Balance of deferred (inflows)</t>
    </r>
    <r>
      <rPr>
        <sz val="11"/>
        <color rgb="FF0000FF"/>
        <rFont val="Calibri"/>
        <family val="2"/>
        <scheme val="minor"/>
      </rPr>
      <t xml:space="preserve"> 6/30/2019.</t>
    </r>
  </si>
  <si>
    <r>
      <t>Balance of Deferred outflows</t>
    </r>
    <r>
      <rPr>
        <sz val="11"/>
        <color rgb="FF0000FF"/>
        <rFont val="Calibri"/>
        <family val="2"/>
        <scheme val="minor"/>
      </rPr>
      <t xml:space="preserve"> 6/30/2019</t>
    </r>
  </si>
  <si>
    <r>
      <t>Amount Recognized in</t>
    </r>
    <r>
      <rPr>
        <sz val="11"/>
        <color rgb="FF0000FF"/>
        <rFont val="Calibri"/>
        <family val="2"/>
        <scheme val="minor"/>
      </rPr>
      <t xml:space="preserve"> 6/30/2020 </t>
    </r>
    <r>
      <rPr>
        <sz val="11"/>
        <rFont val="Calibri"/>
        <family val="2"/>
        <scheme val="minor"/>
      </rPr>
      <t>Expense</t>
    </r>
  </si>
  <si>
    <r>
      <t xml:space="preserve">Amount Recognized in </t>
    </r>
    <r>
      <rPr>
        <sz val="11"/>
        <color rgb="FF0000FF"/>
        <rFont val="Calibri"/>
        <family val="2"/>
        <scheme val="minor"/>
      </rPr>
      <t>6/30/2021</t>
    </r>
    <r>
      <rPr>
        <sz val="11"/>
        <rFont val="Calibri"/>
        <family val="2"/>
        <scheme val="minor"/>
      </rPr>
      <t xml:space="preserve"> Expense</t>
    </r>
  </si>
  <si>
    <r>
      <t xml:space="preserve">Amount Recognized in </t>
    </r>
    <r>
      <rPr>
        <sz val="11"/>
        <color rgb="FF0000FF"/>
        <rFont val="Calibri"/>
        <family val="2"/>
        <scheme val="minor"/>
      </rPr>
      <t xml:space="preserve">6/30/2022 </t>
    </r>
    <r>
      <rPr>
        <sz val="11"/>
        <rFont val="Calibri"/>
        <family val="2"/>
        <scheme val="minor"/>
      </rPr>
      <t>Expense</t>
    </r>
  </si>
  <si>
    <r>
      <t>Amount Recognized in</t>
    </r>
    <r>
      <rPr>
        <sz val="11"/>
        <color rgb="FF0000FF"/>
        <rFont val="Calibri"/>
        <family val="2"/>
        <scheme val="minor"/>
      </rPr>
      <t xml:space="preserve"> 6/30/2023</t>
    </r>
    <r>
      <rPr>
        <sz val="11"/>
        <rFont val="Calibri"/>
        <family val="2"/>
        <scheme val="minor"/>
      </rPr>
      <t xml:space="preserve"> Expense</t>
    </r>
  </si>
  <si>
    <r>
      <t xml:space="preserve">Amount Recognized in </t>
    </r>
    <r>
      <rPr>
        <sz val="11"/>
        <color rgb="FF0000FF"/>
        <rFont val="Calibri"/>
        <family val="2"/>
        <scheme val="minor"/>
      </rPr>
      <t>6/30/2024</t>
    </r>
    <r>
      <rPr>
        <sz val="11"/>
        <rFont val="Calibri"/>
        <family val="2"/>
        <scheme val="minor"/>
      </rPr>
      <t xml:space="preserve"> Expense</t>
    </r>
  </si>
  <si>
    <t>https://www.oregon.gov/pers/EMP/Documents/GASB/2020/GASB-68-Individual-Employer-Schedules.pdf</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</si>
  <si>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March 4, 2020.</t>
    </r>
  </si>
  <si>
    <t>All assumptions, methods and plan provisions used in these calculations are described in the Oregon PERS</t>
  </si>
  <si>
    <r>
      <t xml:space="preserve">Proportionate Share, FY </t>
    </r>
    <r>
      <rPr>
        <sz val="10"/>
        <color rgb="FF0000FF"/>
        <rFont val="Verdana"/>
        <family val="2"/>
      </rPr>
      <t>2020</t>
    </r>
  </si>
  <si>
    <t>6/30/2019</t>
  </si>
  <si>
    <t xml:space="preserve"> - from Diff in Earnings* (2017-2018)</t>
  </si>
  <si>
    <t xml:space="preserve"> - from Diff in Experience* (2017-2018)</t>
  </si>
  <si>
    <t xml:space="preserve"> - from Diff in Assumption* (2017-2018)</t>
  </si>
  <si>
    <t>Fiscal Year 6/30/20 Adjustments</t>
  </si>
  <si>
    <t>Balance 6/30/20</t>
  </si>
  <si>
    <t>FY20</t>
  </si>
  <si>
    <t>Differences between expected and actual experience</t>
  </si>
  <si>
    <t>Changes of assumptions</t>
  </si>
  <si>
    <t>Changes in proportion</t>
  </si>
  <si>
    <t>Differences between employer contributions and proportionate share of contributions</t>
  </si>
  <si>
    <t>Contributions subsequent to the MD</t>
  </si>
  <si>
    <r>
      <t xml:space="preserve">This information was created from the PERS CAFR </t>
    </r>
    <r>
      <rPr>
        <sz val="11"/>
        <color rgb="FF0000FF"/>
        <rFont val="Calibri"/>
        <family val="2"/>
        <scheme val="minor"/>
      </rPr>
      <t>table 25 on page 71</t>
    </r>
  </si>
  <si>
    <t>https://www.oregon.gov/pers/Documents/Financials/CAFR/2019-CAFR.pdf</t>
  </si>
  <si>
    <r>
      <t xml:space="preserve">This information was created from PERS CAFR table on </t>
    </r>
    <r>
      <rPr>
        <sz val="11"/>
        <color rgb="FF0000FF"/>
        <rFont val="Calibri"/>
        <family val="2"/>
        <scheme val="minor"/>
      </rPr>
      <t>page 100</t>
    </r>
  </si>
  <si>
    <t>Changed from 2019</t>
  </si>
  <si>
    <t>Changed</t>
  </si>
  <si>
    <r>
      <t xml:space="preserve">This information was created from the PERS CAFR </t>
    </r>
    <r>
      <rPr>
        <sz val="11"/>
        <color rgb="FF0000FF"/>
        <rFont val="Calibri"/>
        <family val="2"/>
        <scheme val="minor"/>
      </rPr>
      <t>table 31 on page 72</t>
    </r>
  </si>
  <si>
    <r>
      <t>For the Last Ten</t>
    </r>
    <r>
      <rPr>
        <b/>
        <sz val="10"/>
        <color rgb="FF0000FF"/>
        <rFont val="Times New Roman"/>
        <family val="1"/>
      </rPr>
      <t xml:space="preserve"> </t>
    </r>
    <r>
      <rPr>
        <b/>
        <sz val="10"/>
        <rFont val="Times New Roman"/>
        <family val="1"/>
      </rPr>
      <t>Fiscal Years</t>
    </r>
    <r>
      <rPr>
        <b/>
        <vertAlign val="superscript"/>
        <sz val="10"/>
        <rFont val="Times New Roman"/>
        <family val="1"/>
      </rPr>
      <t>1</t>
    </r>
  </si>
  <si>
    <t xml:space="preserve">SCHEDULE OF CONTRIBUTIONS - PENSION </t>
  </si>
  <si>
    <r>
      <t>For the Last Ten Fiscal Years</t>
    </r>
    <r>
      <rPr>
        <b/>
        <vertAlign val="superscript"/>
        <sz val="10"/>
        <rFont val="Times New Roman"/>
        <family val="1"/>
      </rPr>
      <t>1</t>
    </r>
  </si>
  <si>
    <r>
      <t xml:space="preserve">Fiduciary net position as a percentage of the total pension liability. </t>
    </r>
    <r>
      <rPr>
        <sz val="10"/>
        <color rgb="FF0000FF"/>
        <rFont val="Times New Roman"/>
        <family val="1"/>
      </rPr>
      <t>Note 9 table 24 page 71</t>
    </r>
    <r>
      <rPr>
        <sz val="10"/>
        <rFont val="Times New Roman"/>
        <family val="1"/>
      </rPr>
      <t xml:space="preserve"> of the PERS CAFR</t>
    </r>
  </si>
  <si>
    <t>Page 76</t>
  </si>
  <si>
    <t>Oregon Public Employees Retirement System – Cost-Sharing Multiple-Employer Defined Benefit Pension Plan Schedules of Employer Allocations and Pension Amounts by Employer FYE June 30, 2019</t>
  </si>
  <si>
    <t>https://www.oregon.gov/pers/EMP/Documents/GASB/2019/PERS%20GASB%2068%20Report%20FY%206.30.19.pdf</t>
  </si>
  <si>
    <r>
      <t xml:space="preserve">1% Decrease </t>
    </r>
    <r>
      <rPr>
        <b/>
        <sz val="12"/>
        <color rgb="FF0000FF"/>
        <rFont val="Times New Roman"/>
        <family val="1"/>
      </rPr>
      <t>(6.20%</t>
    </r>
    <r>
      <rPr>
        <b/>
        <sz val="12"/>
        <color theme="1"/>
        <rFont val="Times New Roman"/>
        <family val="1"/>
      </rPr>
      <t>)</t>
    </r>
  </si>
  <si>
    <r>
      <t>Discount Rate (</t>
    </r>
    <r>
      <rPr>
        <b/>
        <sz val="12"/>
        <color rgb="FF0000FF"/>
        <rFont val="Times New Roman"/>
        <family val="1"/>
      </rPr>
      <t>7.20%</t>
    </r>
    <r>
      <rPr>
        <b/>
        <sz val="12"/>
        <color theme="1"/>
        <rFont val="Times New Roman"/>
        <family val="1"/>
      </rPr>
      <t>)</t>
    </r>
  </si>
  <si>
    <r>
      <t>1% Increase (</t>
    </r>
    <r>
      <rPr>
        <b/>
        <sz val="12"/>
        <color rgb="FF0000FF"/>
        <rFont val="Times New Roman"/>
        <family val="1"/>
      </rPr>
      <t>8.20%</t>
    </r>
    <r>
      <rPr>
        <b/>
        <sz val="12"/>
        <color theme="1"/>
        <rFont val="Times New Roman"/>
        <family val="1"/>
      </rPr>
      <t>)</t>
    </r>
  </si>
  <si>
    <t>Pension expense (income)</t>
  </si>
  <si>
    <r>
      <rPr>
        <b/>
        <sz val="11"/>
        <color theme="1"/>
        <rFont val="Times New Roman"/>
        <family val="1"/>
      </rPr>
      <t>Health retirees and beneficiaries:</t>
    </r>
    <r>
      <rPr>
        <sz val="11"/>
        <color theme="1"/>
        <rFont val="Times New Roman"/>
        <family val="1"/>
      </rPr>
      <t xml:space="preserve">  RP-2014 healthy annuitant, sex-distinct, generational with Unisex, Social Security Data Scale, with collar adjustments and set-backs as described in the valuation. </t>
    </r>
  </si>
  <si>
    <t>A legislative change that occurred after the December 31, 2017 valuation date affected the plan provisions reflected for financial reporting purposes. Senate Bill 1049, signed into law in June 2019, introduced a limit on the amount of annual salary included for the calculation of benefits. Beginning in 2020, annual salary in excess of $195,000 (as indexed in future years) will be excluded when determining member benefits. As a result, future Tier 1/Tier 2 and OPSRP benefits for certain active members are now projected to be lower than prior to the legislation. Senate Bill 1049 was reflected in the June 30, 2019 Total Pension Liability as a reduction in liability.</t>
  </si>
  <si>
    <t>https://www.oregon.gov/pers/EMP/Documents/GASB/2020/2019-GASB68-Letter-from-Actuary.pdf</t>
  </si>
  <si>
    <t>Pg 4</t>
  </si>
  <si>
    <t>https://www.oregon.gov/pers/EMP/Pages/GASB.aspx</t>
  </si>
  <si>
    <t>https://www.oregon.gov/pers/EMP/Documents/GASB/2020/Cash-Contributions-FY2020-8-13-2020.pdf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</si>
</sst>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63">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
      <b/>
      <sz val="11"/>
      <color theme="1"/>
      <name val="Times New Roman"/>
      <family val="1"/>
    </font>
    <font>
      <b/>
      <sz val="11"/>
      <name val="Calibri"/>
      <family val="2"/>
      <scheme val="minor"/>
    </font>
    <font>
      <sz val="12"/>
      <color theme="1"/>
      <name val="Times New Roman"/>
      <family val="1"/>
    </font>
    <font>
      <sz val="12"/>
      <color rgb="FF0000FF"/>
      <name val="Times New Roman"/>
      <family val="1"/>
    </font>
    <font>
      <sz val="12"/>
      <color theme="1"/>
      <name val="Calibri"/>
      <family val="2"/>
      <scheme val="minor"/>
    </font>
    <font>
      <b/>
      <sz val="11"/>
      <color rgb="FFFF0000"/>
      <name val="Times New Roman"/>
      <family val="1"/>
    </font>
    <font>
      <u/>
      <sz val="10"/>
      <color theme="10"/>
      <name val="Times New Roman"/>
      <family val="1"/>
    </font>
    <font>
      <b/>
      <sz val="12"/>
      <color theme="1"/>
      <name val="Times New Roman"/>
      <family val="1"/>
    </font>
    <font>
      <b/>
      <sz val="12"/>
      <color rgb="FF0000FF"/>
      <name val="Times New Roman"/>
      <family val="1"/>
    </font>
    <font>
      <sz val="9"/>
      <color indexed="81"/>
      <name val="Tahoma"/>
      <charset val="1"/>
    </font>
    <font>
      <b/>
      <sz val="9"/>
      <color indexed="81"/>
      <name val="Tahoma"/>
      <charset val="1"/>
    </font>
  </fonts>
  <fills count="14">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9999"/>
        <bgColor indexed="64"/>
      </patternFill>
    </fill>
    <fill>
      <patternFill patternType="solid">
        <fgColor rgb="FFE7FCA2"/>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2">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43" fontId="11" fillId="0" borderId="0" xfId="1" applyFont="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xf numFmtId="165" fontId="11" fillId="0" borderId="0" xfId="1" applyNumberFormat="1" applyFont="1"/>
    <xf numFmtId="165" fontId="11" fillId="0" borderId="0" xfId="0" applyNumberFormat="1" applyFont="1"/>
    <xf numFmtId="165" fontId="11" fillId="4"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0" fontId="14" fillId="0" borderId="7" xfId="4" applyFont="1" applyBorder="1" applyAlignment="1">
      <alignment horizontal="center"/>
    </xf>
    <xf numFmtId="165" fontId="14" fillId="0" borderId="0" xfId="3" quotePrefix="1" applyNumberFormat="1" applyFont="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Border="1"/>
    <xf numFmtId="0" fontId="11" fillId="0" borderId="0" xfId="0" applyFont="1" applyAlignment="1">
      <alignment horizontal="right"/>
    </xf>
    <xf numFmtId="41" fontId="14" fillId="0" borderId="0" xfId="4" applyNumberFormat="1" applyFont="1"/>
    <xf numFmtId="10" fontId="14" fillId="0" borderId="0" xfId="3" applyNumberFormat="1" applyFont="1"/>
    <xf numFmtId="42" fontId="14" fillId="0" borderId="0" xfId="3" applyNumberFormat="1" applyFont="1" applyAlignment="1">
      <alignment horizontal="center"/>
    </xf>
    <xf numFmtId="0" fontId="16" fillId="0" borderId="0" xfId="4" applyFont="1" applyProtection="1">
      <protection locked="0"/>
    </xf>
    <xf numFmtId="166" fontId="14" fillId="0" borderId="0" xfId="3" quotePrefix="1" applyNumberFormat="1" applyFont="1" applyAlignment="1">
      <alignment horizontal="right"/>
    </xf>
    <xf numFmtId="10" fontId="14" fillId="0" borderId="0" xfId="3" quotePrefix="1" applyNumberFormat="1" applyFont="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6"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0" xfId="1" applyNumberFormat="1" applyFont="1"/>
    <xf numFmtId="41" fontId="11" fillId="0" borderId="0" xfId="0" applyNumberFormat="1" applyFont="1"/>
    <xf numFmtId="41" fontId="11" fillId="0" borderId="12" xfId="1" applyNumberFormat="1" applyFont="1" applyBorder="1"/>
    <xf numFmtId="0" fontId="16" fillId="0" borderId="7" xfId="4" applyFont="1" applyBorder="1" applyProtection="1">
      <protection locked="0"/>
    </xf>
    <xf numFmtId="168" fontId="11" fillId="0" borderId="10" xfId="2" applyNumberFormat="1" applyFont="1" applyBorder="1"/>
    <xf numFmtId="15" fontId="24" fillId="0" borderId="0" xfId="4" applyNumberFormat="1" applyFont="1" applyAlignment="1">
      <alignment horizontal="center"/>
    </xf>
    <xf numFmtId="0" fontId="0" fillId="3" borderId="0" xfId="0" applyFill="1"/>
    <xf numFmtId="168" fontId="11" fillId="0" borderId="12" xfId="2" applyNumberFormat="1" applyFont="1" applyBorder="1"/>
    <xf numFmtId="41" fontId="11" fillId="0" borderId="10" xfId="0" applyNumberFormat="1" applyFont="1" applyBorder="1"/>
    <xf numFmtId="41" fontId="11" fillId="6" borderId="0" xfId="0" applyNumberFormat="1" applyFont="1" applyFill="1"/>
    <xf numFmtId="0" fontId="10" fillId="3" borderId="0" xfId="6"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167" fontId="0" fillId="0" borderId="0" xfId="7" applyNumberFormat="1" applyFont="1"/>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0" fontId="29" fillId="5" borderId="0" xfId="0" applyFont="1" applyFill="1"/>
    <xf numFmtId="0" fontId="29" fillId="0" borderId="0" xfId="0" applyFont="1"/>
    <xf numFmtId="0" fontId="29" fillId="5" borderId="0" xfId="0" applyFont="1" applyFill="1" applyAlignment="1">
      <alignment horizontal="justify" wrapText="1"/>
    </xf>
    <xf numFmtId="42" fontId="29" fillId="5" borderId="0" xfId="0" applyNumberFormat="1" applyFont="1" applyFill="1"/>
    <xf numFmtId="41" fontId="29" fillId="5" borderId="0" xfId="0" applyNumberFormat="1" applyFont="1" applyFill="1"/>
    <xf numFmtId="41" fontId="29" fillId="5" borderId="12" xfId="0" applyNumberFormat="1" applyFont="1" applyFill="1" applyBorder="1"/>
    <xf numFmtId="0" fontId="29" fillId="5" borderId="0" xfId="0" applyFont="1" applyFill="1" applyAlignment="1">
      <alignment horizontal="left" wrapText="1" indent="3"/>
    </xf>
    <xf numFmtId="42" fontId="29" fillId="5" borderId="10" xfId="0" applyNumberFormat="1" applyFont="1" applyFill="1" applyBorder="1"/>
    <xf numFmtId="0" fontId="29" fillId="5" borderId="0" xfId="0" applyFont="1" applyFill="1" applyAlignment="1">
      <alignment horizontal="center"/>
    </xf>
    <xf numFmtId="0" fontId="29" fillId="0" borderId="0" xfId="0" applyFont="1" applyAlignment="1">
      <alignment wrapText="1"/>
    </xf>
    <xf numFmtId="0" fontId="29" fillId="5" borderId="9" xfId="0" applyFont="1" applyFill="1" applyBorder="1" applyAlignment="1">
      <alignment vertical="top"/>
    </xf>
    <xf numFmtId="0" fontId="29" fillId="5" borderId="13" xfId="0" applyFont="1" applyFill="1" applyBorder="1" applyAlignment="1">
      <alignment vertical="top"/>
    </xf>
    <xf numFmtId="0" fontId="29" fillId="5" borderId="9" xfId="0" applyFont="1" applyFill="1" applyBorder="1" applyAlignment="1">
      <alignment horizontal="left" vertical="top" indent="1"/>
    </xf>
    <xf numFmtId="0" fontId="29" fillId="5" borderId="9" xfId="0" applyFont="1" applyFill="1" applyBorder="1" applyAlignment="1">
      <alignment horizontal="left" vertical="top" wrapText="1" indent="1"/>
    </xf>
    <xf numFmtId="0" fontId="29" fillId="5" borderId="16" xfId="0" applyFont="1" applyFill="1" applyBorder="1" applyAlignment="1">
      <alignment horizontal="left" vertical="top" indent="1"/>
    </xf>
    <xf numFmtId="0" fontId="29" fillId="5" borderId="19" xfId="0" applyFont="1" applyFill="1" applyBorder="1" applyAlignment="1">
      <alignment horizontal="left" vertical="top" indent="1"/>
    </xf>
    <xf numFmtId="0" fontId="29" fillId="5" borderId="19" xfId="0" applyFont="1" applyFill="1" applyBorder="1" applyAlignment="1">
      <alignment vertical="top"/>
    </xf>
    <xf numFmtId="0" fontId="29" fillId="5" borderId="20" xfId="0" applyFont="1" applyFill="1" applyBorder="1" applyAlignment="1">
      <alignment vertical="top"/>
    </xf>
    <xf numFmtId="10" fontId="29" fillId="5" borderId="0" xfId="0" applyNumberFormat="1" applyFont="1" applyFill="1" applyAlignment="1">
      <alignment horizontal="center"/>
    </xf>
    <xf numFmtId="10" fontId="29" fillId="5" borderId="12" xfId="0" applyNumberFormat="1" applyFont="1" applyFill="1" applyBorder="1" applyAlignment="1">
      <alignment horizontal="center"/>
    </xf>
    <xf numFmtId="0" fontId="29" fillId="5" borderId="0" xfId="0" applyFont="1" applyFill="1" applyAlignment="1">
      <alignment horizontal="left" indent="3"/>
    </xf>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xf numFmtId="0" fontId="31" fillId="0" borderId="7" xfId="8" applyBorder="1" applyAlignment="1">
      <alignment horizontal="center"/>
    </xf>
    <xf numFmtId="0" fontId="31" fillId="0" borderId="0" xfId="8" applyAlignment="1">
      <alignment horizontal="center"/>
    </xf>
    <xf numFmtId="43" fontId="31" fillId="0" borderId="0" xfId="9"/>
    <xf numFmtId="174" fontId="32" fillId="0" borderId="0" xfId="9" applyNumberFormat="1" applyFont="1" applyAlignment="1">
      <alignment horizontal="center"/>
    </xf>
    <xf numFmtId="174" fontId="31" fillId="0" borderId="0" xfId="9" applyNumberFormat="1"/>
    <xf numFmtId="165" fontId="31" fillId="0" borderId="7" xfId="9" applyNumberFormat="1" applyBorder="1" applyAlignment="1">
      <alignment horizontal="center"/>
    </xf>
    <xf numFmtId="43" fontId="32" fillId="0" borderId="0" xfId="9" applyFont="1"/>
    <xf numFmtId="165" fontId="31" fillId="0" borderId="0" xfId="9" applyNumberFormat="1" applyAlignment="1">
      <alignment horizontal="right"/>
    </xf>
    <xf numFmtId="41" fontId="29" fillId="0" borderId="12" xfId="0" applyNumberFormat="1" applyFont="1" applyBorder="1"/>
    <xf numFmtId="41" fontId="29" fillId="0" borderId="17" xfId="0" applyNumberFormat="1" applyFont="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6" fillId="0" borderId="0" xfId="9" applyNumberFormat="1" applyFont="1"/>
    <xf numFmtId="165" fontId="38" fillId="0" borderId="0" xfId="9" applyNumberFormat="1" applyFont="1" applyAlignment="1">
      <alignment wrapText="1"/>
    </xf>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6"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Border="1"/>
    <xf numFmtId="166" fontId="13" fillId="0" borderId="5" xfId="2" applyNumberFormat="1" applyFont="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0" fillId="0" borderId="0" xfId="0" applyNumberFormat="1" applyFont="1"/>
    <xf numFmtId="41" fontId="29" fillId="6"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5" borderId="13" xfId="0" applyFont="1" applyFill="1" applyBorder="1" applyAlignment="1">
      <alignment horizontal="left" vertical="top" indent="1"/>
    </xf>
    <xf numFmtId="10" fontId="29" fillId="5" borderId="13" xfId="0" applyNumberFormat="1" applyFont="1" applyFill="1" applyBorder="1" applyAlignment="1">
      <alignment horizontal="justify" vertical="top" wrapText="1"/>
    </xf>
    <xf numFmtId="41" fontId="29" fillId="5" borderId="7" xfId="0" applyNumberFormat="1" applyFont="1" applyFill="1" applyBorder="1"/>
    <xf numFmtId="41" fontId="29" fillId="0" borderId="19"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42" fontId="29" fillId="5" borderId="9" xfId="0" applyNumberFormat="1" applyFont="1" applyFill="1" applyBorder="1" applyAlignment="1">
      <alignment horizontal="center" wrapText="1"/>
    </xf>
    <xf numFmtId="42" fontId="29" fillId="0" borderId="28" xfId="0" applyNumberFormat="1" applyFont="1" applyBorder="1"/>
    <xf numFmtId="165" fontId="11" fillId="0" borderId="12" xfId="0" applyNumberFormat="1" applyFont="1" applyBorder="1"/>
    <xf numFmtId="0" fontId="10" fillId="0" borderId="0" xfId="6" applyAlignment="1">
      <alignment vertical="center"/>
    </xf>
    <xf numFmtId="41" fontId="5" fillId="6" borderId="0" xfId="0" applyNumberFormat="1" applyFont="1" applyFill="1"/>
    <xf numFmtId="165" fontId="43" fillId="0" borderId="0" xfId="1" applyNumberFormat="1" applyFont="1"/>
    <xf numFmtId="41" fontId="43" fillId="0" borderId="0" xfId="0" applyNumberFormat="1" applyFont="1"/>
    <xf numFmtId="0" fontId="17" fillId="0" borderId="0" xfId="5" applyFont="1" applyAlignment="1">
      <alignment horizontal="left" vertical="top"/>
    </xf>
    <xf numFmtId="165" fontId="25" fillId="0" borderId="0" xfId="1" applyNumberFormat="1" applyFont="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5" applyFont="1" applyAlignment="1">
      <alignment horizontal="left"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0" fontId="44" fillId="0" borderId="0" xfId="0" applyFont="1" applyAlignment="1">
      <alignment horizontal="center"/>
    </xf>
    <xf numFmtId="0" fontId="29" fillId="0" borderId="0" xfId="0" applyFont="1" applyAlignment="1">
      <alignment horizontal="center"/>
    </xf>
    <xf numFmtId="42" fontId="29" fillId="0" borderId="11" xfId="0" applyNumberFormat="1" applyFont="1" applyBorder="1"/>
    <xf numFmtId="165" fontId="11" fillId="0" borderId="11" xfId="1" applyNumberFormat="1" applyFont="1" applyBorder="1"/>
    <xf numFmtId="167" fontId="0" fillId="3" borderId="11" xfId="7" applyNumberFormat="1" applyFont="1" applyFill="1" applyBorder="1"/>
    <xf numFmtId="0" fontId="25" fillId="0" borderId="0" xfId="0" applyFont="1" applyAlignment="1">
      <alignment horizontal="center"/>
    </xf>
    <xf numFmtId="41" fontId="20" fillId="0" borderId="0" xfId="5" applyNumberFormat="1" applyFont="1" applyAlignment="1">
      <alignment horizontal="left" vertical="top"/>
    </xf>
    <xf numFmtId="14" fontId="0" fillId="0" borderId="0" xfId="0" applyNumberFormat="1" applyAlignment="1">
      <alignment horizontal="left"/>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xf numFmtId="41" fontId="24" fillId="0" borderId="0" xfId="3" applyNumberFormat="1" applyFont="1" applyAlignment="1">
      <alignment horizontal="center"/>
    </xf>
    <xf numFmtId="0" fontId="41" fillId="0" borderId="0" xfId="0" applyFont="1"/>
    <xf numFmtId="165" fontId="11" fillId="0" borderId="7" xfId="0" applyNumberFormat="1" applyFont="1" applyBorder="1"/>
    <xf numFmtId="0" fontId="34" fillId="0" borderId="0" xfId="8" applyFont="1" applyAlignment="1">
      <alignment wrapText="1"/>
    </xf>
    <xf numFmtId="165" fontId="37" fillId="0" borderId="0" xfId="9" applyNumberFormat="1" applyFont="1" applyAlignment="1">
      <alignment wrapText="1"/>
    </xf>
    <xf numFmtId="41" fontId="5" fillId="0" borderId="3" xfId="1" applyNumberFormat="1" applyFont="1" applyBorder="1" applyAlignment="1">
      <alignment horizontal="left"/>
    </xf>
    <xf numFmtId="175" fontId="5" fillId="0" borderId="3" xfId="1" applyNumberFormat="1" applyFont="1" applyBorder="1" applyAlignment="1">
      <alignment horizontal="right"/>
    </xf>
    <xf numFmtId="43" fontId="11" fillId="0" borderId="0" xfId="0" applyNumberFormat="1" applyFont="1"/>
    <xf numFmtId="166" fontId="24" fillId="0" borderId="0" xfId="3" quotePrefix="1" applyNumberFormat="1" applyFont="1" applyAlignment="1">
      <alignment horizontal="right"/>
    </xf>
    <xf numFmtId="165" fontId="24" fillId="0" borderId="0" xfId="3" applyNumberFormat="1" applyFont="1" applyAlignment="1">
      <alignment horizontal="center"/>
    </xf>
    <xf numFmtId="41" fontId="24" fillId="0" borderId="0" xfId="3" applyNumberFormat="1" applyFont="1"/>
    <xf numFmtId="165" fontId="24" fillId="0" borderId="0" xfId="3" applyNumberFormat="1" applyFont="1"/>
    <xf numFmtId="41" fontId="30" fillId="0" borderId="0" xfId="0" applyNumberFormat="1" applyFont="1"/>
    <xf numFmtId="0" fontId="47" fillId="0" borderId="0" xfId="5" applyFont="1" applyAlignment="1">
      <alignment horizontal="left" vertical="top"/>
    </xf>
    <xf numFmtId="0" fontId="48" fillId="0" borderId="0" xfId="5" applyFont="1" applyAlignment="1">
      <alignment horizontal="left" vertical="top"/>
    </xf>
    <xf numFmtId="14" fontId="0" fillId="0" borderId="0" xfId="0" applyNumberFormat="1"/>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44" fontId="49" fillId="0" borderId="0" xfId="7" applyFont="1"/>
    <xf numFmtId="0" fontId="12" fillId="0" borderId="7" xfId="0" applyFont="1" applyBorder="1" applyAlignment="1">
      <alignment horizontal="center"/>
    </xf>
    <xf numFmtId="0" fontId="12" fillId="0" borderId="0" xfId="0" applyFont="1" applyAlignment="1">
      <alignment horizontal="right"/>
    </xf>
    <xf numFmtId="165" fontId="33" fillId="0" borderId="0" xfId="9" quotePrefix="1" applyNumberFormat="1" applyFont="1" applyAlignment="1">
      <alignment horizontal="center"/>
    </xf>
    <xf numFmtId="14" fontId="33" fillId="0" borderId="0" xfId="8" applyNumberFormat="1" applyFont="1" applyAlignment="1">
      <alignment horizontal="center"/>
    </xf>
    <xf numFmtId="0" fontId="10" fillId="0" borderId="0" xfId="6"/>
    <xf numFmtId="0" fontId="14" fillId="8" borderId="0" xfId="4" applyFont="1" applyFill="1"/>
    <xf numFmtId="42" fontId="24" fillId="8" borderId="0" xfId="1" applyNumberFormat="1" applyFont="1" applyFill="1"/>
    <xf numFmtId="41" fontId="12" fillId="8" borderId="0" xfId="0" applyNumberFormat="1" applyFont="1" applyFill="1"/>
    <xf numFmtId="41" fontId="11" fillId="8" borderId="0" xfId="0" applyNumberFormat="1" applyFont="1" applyFill="1"/>
    <xf numFmtId="0" fontId="11" fillId="8" borderId="0" xfId="0" applyFont="1" applyFill="1"/>
    <xf numFmtId="0" fontId="0" fillId="8" borderId="0" xfId="0" applyFill="1"/>
    <xf numFmtId="176" fontId="24" fillId="0" borderId="0" xfId="4" applyNumberFormat="1" applyFont="1"/>
    <xf numFmtId="0" fontId="16" fillId="0" borderId="0" xfId="4" applyFont="1"/>
    <xf numFmtId="0" fontId="16" fillId="0" borderId="7" xfId="4" quotePrefix="1" applyFont="1" applyBorder="1" applyProtection="1">
      <protection locked="0"/>
    </xf>
    <xf numFmtId="42" fontId="24" fillId="0" borderId="0" xfId="1" applyNumberFormat="1" applyFont="1"/>
    <xf numFmtId="0" fontId="14" fillId="0" borderId="0" xfId="4" applyFont="1" applyAlignment="1">
      <alignment horizontal="justify" wrapText="1"/>
    </xf>
    <xf numFmtId="0" fontId="24" fillId="0" borderId="0" xfId="4" applyFont="1" applyAlignment="1">
      <alignment horizontal="center"/>
    </xf>
    <xf numFmtId="42" fontId="14" fillId="0" borderId="0" xfId="1" applyNumberFormat="1" applyFont="1"/>
    <xf numFmtId="165" fontId="0" fillId="0" borderId="0" xfId="9" applyNumberFormat="1" applyFont="1" applyAlignment="1">
      <alignment horizontal="right" indent="2"/>
    </xf>
    <xf numFmtId="0" fontId="2" fillId="0" borderId="4" xfId="0" applyFont="1" applyBorder="1"/>
    <xf numFmtId="5" fontId="5" fillId="0" borderId="3" xfId="0" applyNumberFormat="1" applyFont="1" applyBorder="1" applyAlignment="1">
      <alignment horizontal="right"/>
    </xf>
    <xf numFmtId="41" fontId="29" fillId="0" borderId="26" xfId="0" applyNumberFormat="1" applyFont="1" applyBorder="1"/>
    <xf numFmtId="0" fontId="0" fillId="9" borderId="4" xfId="0" applyFill="1" applyBorder="1"/>
    <xf numFmtId="0" fontId="0" fillId="10" borderId="4" xfId="0" applyFill="1" applyBorder="1"/>
    <xf numFmtId="0" fontId="0" fillId="11" borderId="4" xfId="0" applyFill="1" applyBorder="1"/>
    <xf numFmtId="0" fontId="0" fillId="12" borderId="4" xfId="0" applyFill="1" applyBorder="1"/>
    <xf numFmtId="0" fontId="17" fillId="0" borderId="0" xfId="5" applyFont="1" applyAlignment="1">
      <alignment horizontal="left" wrapText="1"/>
    </xf>
    <xf numFmtId="14" fontId="29" fillId="4" borderId="0" xfId="0" applyNumberFormat="1" applyFont="1" applyFill="1"/>
    <xf numFmtId="0" fontId="0" fillId="4" borderId="4" xfId="0" applyFill="1" applyBorder="1"/>
    <xf numFmtId="41" fontId="29" fillId="6" borderId="0" xfId="0" applyNumberFormat="1" applyFont="1" applyFill="1" applyAlignment="1">
      <alignment horizontal="right"/>
    </xf>
    <xf numFmtId="0" fontId="30" fillId="0" borderId="0" xfId="0" applyFont="1"/>
    <xf numFmtId="43" fontId="2" fillId="0" borderId="0" xfId="0" applyNumberFormat="1" applyFont="1"/>
    <xf numFmtId="43" fontId="0" fillId="0" borderId="0" xfId="0" applyNumberFormat="1"/>
    <xf numFmtId="0" fontId="36" fillId="0" borderId="0" xfId="8" applyFont="1" applyAlignment="1">
      <alignment horizontal="center"/>
    </xf>
    <xf numFmtId="14" fontId="29" fillId="0" borderId="7" xfId="0" applyNumberFormat="1" applyFont="1" applyBorder="1" applyAlignment="1">
      <alignment horizontal="center" wrapText="1"/>
    </xf>
    <xf numFmtId="14" fontId="29" fillId="0" borderId="0" xfId="0" applyNumberFormat="1" applyFont="1" applyAlignment="1">
      <alignment horizontal="center" wrapText="1"/>
    </xf>
    <xf numFmtId="0" fontId="52" fillId="5" borderId="7" xfId="0" applyFont="1" applyFill="1" applyBorder="1" applyAlignment="1">
      <alignment horizontal="center" wrapText="1"/>
    </xf>
    <xf numFmtId="0" fontId="52" fillId="5" borderId="0" xfId="0" applyFont="1" applyFill="1" applyAlignment="1">
      <alignment horizontal="center" wrapText="1"/>
    </xf>
    <xf numFmtId="0" fontId="24" fillId="0" borderId="0" xfId="4" quotePrefix="1" applyFont="1" applyAlignment="1">
      <alignment horizontal="center"/>
    </xf>
    <xf numFmtId="0" fontId="14" fillId="5" borderId="0" xfId="4" applyFont="1" applyFill="1"/>
    <xf numFmtId="0" fontId="24" fillId="5" borderId="0" xfId="4" applyFont="1" applyFill="1"/>
    <xf numFmtId="0" fontId="24" fillId="5" borderId="0" xfId="4" applyFont="1" applyFill="1" applyAlignment="1">
      <alignment horizontal="center"/>
    </xf>
    <xf numFmtId="0" fontId="14" fillId="5" borderId="0" xfId="4" applyFont="1" applyFill="1" applyAlignment="1">
      <alignment horizontal="left" indent="2"/>
    </xf>
    <xf numFmtId="41" fontId="53" fillId="0" borderId="3" xfId="1" applyNumberFormat="1" applyFont="1" applyBorder="1" applyAlignment="1">
      <alignment horizontal="left"/>
    </xf>
    <xf numFmtId="0" fontId="29" fillId="5" borderId="7" xfId="0" applyFont="1" applyFill="1" applyBorder="1" applyAlignment="1">
      <alignment horizontal="center"/>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0" xfId="0" applyFont="1" applyFill="1" applyAlignment="1">
      <alignment wrapText="1"/>
    </xf>
    <xf numFmtId="0" fontId="20" fillId="5" borderId="0" xfId="0" applyFont="1" applyFill="1" applyAlignment="1">
      <alignment horizontal="center"/>
    </xf>
    <xf numFmtId="42" fontId="29" fillId="5" borderId="11" xfId="0" applyNumberFormat="1" applyFont="1" applyFill="1" applyBorder="1"/>
    <xf numFmtId="177" fontId="29" fillId="5" borderId="0" xfId="0" applyNumberFormat="1" applyFont="1" applyFill="1" applyAlignment="1">
      <alignment horizontal="center"/>
    </xf>
    <xf numFmtId="177" fontId="29" fillId="5" borderId="11" xfId="2" applyNumberFormat="1" applyFont="1" applyFill="1" applyBorder="1" applyAlignment="1">
      <alignment horizontal="center"/>
    </xf>
    <xf numFmtId="10" fontId="29" fillId="5" borderId="10" xfId="0" applyNumberFormat="1" applyFont="1" applyFill="1" applyBorder="1" applyAlignment="1">
      <alignment horizontal="center"/>
    </xf>
    <xf numFmtId="0" fontId="54" fillId="5" borderId="0" xfId="0" applyFont="1" applyFill="1"/>
    <xf numFmtId="0" fontId="54" fillId="0" borderId="0" xfId="0" applyFont="1"/>
    <xf numFmtId="0" fontId="56" fillId="0" borderId="0" xfId="0" applyFont="1"/>
    <xf numFmtId="167" fontId="54" fillId="0" borderId="0" xfId="7" applyNumberFormat="1" applyFont="1"/>
    <xf numFmtId="41" fontId="14" fillId="0" borderId="0" xfId="1" applyNumberFormat="1" applyFont="1"/>
    <xf numFmtId="0" fontId="29" fillId="0" borderId="0" xfId="0" applyFont="1" applyAlignment="1">
      <alignment horizontal="center" wrapText="1"/>
    </xf>
    <xf numFmtId="6" fontId="5" fillId="0" borderId="3" xfId="0" applyNumberFormat="1" applyFont="1" applyBorder="1" applyAlignment="1">
      <alignment horizontal="right"/>
    </xf>
    <xf numFmtId="0" fontId="52" fillId="0" borderId="0" xfId="0" applyFont="1"/>
    <xf numFmtId="41" fontId="29" fillId="0" borderId="0" xfId="0" applyNumberFormat="1" applyFont="1" applyBorder="1"/>
    <xf numFmtId="0" fontId="0" fillId="13" borderId="4" xfId="0" applyFill="1" applyBorder="1"/>
    <xf numFmtId="171" fontId="29" fillId="0" borderId="0" xfId="0" applyNumberFormat="1" applyFont="1" applyAlignment="1">
      <alignment horizontal="right" wrapText="1"/>
    </xf>
    <xf numFmtId="175" fontId="29" fillId="0" borderId="0" xfId="0" applyNumberFormat="1" applyFont="1" applyAlignment="1">
      <alignment horizontal="right" wrapText="1"/>
    </xf>
    <xf numFmtId="0" fontId="17" fillId="3" borderId="0" xfId="5" applyFont="1" applyFill="1" applyAlignment="1">
      <alignment horizontal="left" vertical="top"/>
    </xf>
    <xf numFmtId="0" fontId="19" fillId="0" borderId="0" xfId="5" applyFont="1" applyAlignment="1">
      <alignment horizontal="left" vertical="top"/>
    </xf>
    <xf numFmtId="42" fontId="20" fillId="2" borderId="0" xfId="5" applyNumberFormat="1" applyFont="1" applyFill="1" applyAlignment="1">
      <alignment vertical="top"/>
    </xf>
    <xf numFmtId="42" fontId="20" fillId="0" borderId="0" xfId="5" applyNumberFormat="1" applyFont="1" applyAlignment="1">
      <alignment vertical="top"/>
    </xf>
    <xf numFmtId="41" fontId="20" fillId="2" borderId="0" xfId="5" applyNumberFormat="1" applyFont="1" applyFill="1" applyAlignment="1">
      <alignment vertical="top"/>
    </xf>
    <xf numFmtId="41" fontId="20" fillId="0" borderId="0" xfId="5" applyNumberFormat="1" applyFont="1" applyAlignment="1">
      <alignment vertical="top"/>
    </xf>
    <xf numFmtId="41" fontId="29" fillId="2" borderId="0" xfId="5" applyNumberFormat="1" applyFont="1" applyFill="1" applyAlignment="1">
      <alignment vertical="top"/>
    </xf>
    <xf numFmtId="42" fontId="20" fillId="3" borderId="0" xfId="5" applyNumberFormat="1" applyFont="1" applyFill="1" applyAlignment="1">
      <alignment vertical="top"/>
    </xf>
    <xf numFmtId="42" fontId="29" fillId="0" borderId="0" xfId="5" applyNumberFormat="1" applyFont="1" applyAlignment="1">
      <alignment vertical="top"/>
    </xf>
    <xf numFmtId="42" fontId="29" fillId="2" borderId="0" xfId="5" applyNumberFormat="1" applyFont="1" applyFill="1" applyAlignment="1">
      <alignment vertical="top"/>
    </xf>
    <xf numFmtId="42" fontId="17" fillId="2" borderId="0" xfId="5" applyNumberFormat="1" applyFont="1" applyFill="1" applyAlignment="1">
      <alignment vertical="top"/>
    </xf>
    <xf numFmtId="42" fontId="17" fillId="7" borderId="0" xfId="5" applyNumberFormat="1" applyFont="1" applyFill="1" applyAlignment="1">
      <alignment vertical="top"/>
    </xf>
    <xf numFmtId="42" fontId="20" fillId="2" borderId="0" xfId="5" applyNumberFormat="1" applyFont="1" applyFill="1" applyAlignment="1">
      <alignment horizontal="left" vertical="top" wrapText="1"/>
    </xf>
    <xf numFmtId="165" fontId="33" fillId="0" borderId="0" xfId="9" applyNumberFormat="1" applyFont="1"/>
    <xf numFmtId="0" fontId="11" fillId="0" borderId="0" xfId="0" applyFont="1" applyAlignment="1">
      <alignment horizontal="left" vertical="top"/>
    </xf>
    <xf numFmtId="0" fontId="1" fillId="0" borderId="0" xfId="8" applyFont="1"/>
    <xf numFmtId="0" fontId="29" fillId="5" borderId="7" xfId="0" applyFont="1" applyFill="1" applyBorder="1" applyAlignment="1"/>
    <xf numFmtId="0" fontId="29" fillId="0" borderId="7" xfId="0" applyFont="1" applyBorder="1" applyAlignment="1"/>
    <xf numFmtId="0" fontId="0" fillId="0" borderId="0" xfId="0" applyFill="1"/>
    <xf numFmtId="0" fontId="10" fillId="0" borderId="0" xfId="6" applyFill="1"/>
    <xf numFmtId="0" fontId="28" fillId="0" borderId="0" xfId="0" applyFont="1" applyAlignment="1">
      <alignment horizontal="left" vertical="center"/>
    </xf>
    <xf numFmtId="0" fontId="57" fillId="0" borderId="0" xfId="0" applyFont="1" applyAlignment="1">
      <alignment horizontal="right"/>
    </xf>
    <xf numFmtId="10" fontId="24" fillId="0" borderId="0" xfId="3" quotePrefix="1" applyNumberFormat="1" applyFont="1"/>
    <xf numFmtId="10" fontId="24" fillId="0" borderId="0" xfId="3" quotePrefix="1" applyNumberFormat="1" applyFont="1" applyAlignment="1">
      <alignment horizontal="right"/>
    </xf>
    <xf numFmtId="0" fontId="58" fillId="0" borderId="0" xfId="6" applyFont="1" applyFill="1"/>
    <xf numFmtId="0" fontId="52" fillId="5" borderId="0" xfId="0" applyFont="1" applyFill="1"/>
    <xf numFmtId="0" fontId="52" fillId="5" borderId="7" xfId="0" applyFont="1" applyFill="1" applyBorder="1"/>
    <xf numFmtId="0" fontId="52" fillId="5" borderId="7" xfId="0" applyFont="1" applyFill="1" applyBorder="1" applyAlignment="1">
      <alignment horizontal="center"/>
    </xf>
    <xf numFmtId="0" fontId="52" fillId="5" borderId="0" xfId="0" applyFont="1" applyFill="1" applyAlignment="1">
      <alignment horizontal="center"/>
    </xf>
    <xf numFmtId="0" fontId="59" fillId="5" borderId="7" xfId="0" applyFont="1" applyFill="1" applyBorder="1" applyAlignment="1">
      <alignment horizontal="center"/>
    </xf>
    <xf numFmtId="0" fontId="59" fillId="5" borderId="0" xfId="0" applyFont="1" applyFill="1" applyAlignment="1">
      <alignment horizontal="center"/>
    </xf>
    <xf numFmtId="41" fontId="0" fillId="0" borderId="0" xfId="1" applyNumberFormat="1" applyFont="1"/>
    <xf numFmtId="41" fontId="0" fillId="6" borderId="0" xfId="1" applyNumberFormat="1" applyFont="1" applyFill="1"/>
    <xf numFmtId="0" fontId="24" fillId="0" borderId="0" xfId="4" applyFont="1" applyAlignment="1">
      <alignment horizontal="justify" vertical="top" wrapText="1"/>
    </xf>
    <xf numFmtId="0" fontId="14" fillId="0" borderId="0" xfId="4" applyFont="1" applyAlignment="1">
      <alignment horizontal="left"/>
    </xf>
    <xf numFmtId="6" fontId="2" fillId="0" borderId="0" xfId="0" applyNumberFormat="1" applyFont="1"/>
    <xf numFmtId="3" fontId="2" fillId="0" borderId="0" xfId="0" applyNumberFormat="1" applyFont="1"/>
    <xf numFmtId="5" fontId="2" fillId="0" borderId="0" xfId="0" applyNumberFormat="1" applyFont="1"/>
    <xf numFmtId="10" fontId="0" fillId="0" borderId="0" xfId="0" applyNumberFormat="1"/>
    <xf numFmtId="166" fontId="0" fillId="0" borderId="0" xfId="0" applyNumberFormat="1"/>
    <xf numFmtId="41" fontId="12" fillId="0" borderId="0" xfId="1" applyNumberFormat="1" applyFont="1"/>
    <xf numFmtId="0" fontId="17" fillId="0" borderId="0" xfId="5" applyFont="1" applyFill="1" applyAlignment="1">
      <alignment horizontal="left" vertical="top"/>
    </xf>
    <xf numFmtId="14" fontId="0" fillId="0" borderId="0" xfId="0" applyNumberFormat="1" applyAlignment="1">
      <alignment horizontal="left"/>
    </xf>
    <xf numFmtId="42" fontId="20" fillId="2" borderId="9" xfId="5" applyNumberFormat="1" applyFont="1" applyFill="1" applyBorder="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wrapText="1"/>
    </xf>
    <xf numFmtId="0" fontId="17" fillId="2" borderId="0" xfId="5" applyFont="1" applyFill="1" applyAlignment="1">
      <alignment horizontal="left" vertical="top" wrapText="1" indent="7"/>
    </xf>
    <xf numFmtId="167" fontId="17" fillId="2" borderId="0" xfId="5" applyNumberFormat="1" applyFont="1" applyFill="1" applyAlignment="1">
      <alignment horizontal="center" vertical="top"/>
    </xf>
    <xf numFmtId="42" fontId="20" fillId="7" borderId="9" xfId="5" applyNumberFormat="1" applyFont="1" applyFill="1" applyBorder="1" applyAlignment="1">
      <alignment horizontal="left" vertical="top"/>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14" fontId="29" fillId="10" borderId="0" xfId="0" applyNumberFormat="1" applyFont="1" applyFill="1" applyAlignment="1">
      <alignment horizontal="center"/>
    </xf>
    <xf numFmtId="14" fontId="29" fillId="9" borderId="0" xfId="0" applyNumberFormat="1" applyFont="1" applyFill="1" applyAlignment="1">
      <alignment horizontal="center"/>
    </xf>
    <xf numFmtId="0" fontId="29" fillId="0" borderId="0" xfId="0" applyFont="1" applyAlignment="1">
      <alignment horizontal="center" wrapText="1"/>
    </xf>
    <xf numFmtId="14" fontId="29" fillId="11" borderId="0" xfId="0" applyNumberFormat="1" applyFont="1" applyFill="1" applyAlignment="1">
      <alignment horizontal="center"/>
    </xf>
    <xf numFmtId="14" fontId="29" fillId="12" borderId="0" xfId="0" applyNumberFormat="1" applyFont="1" applyFill="1" applyAlignment="1">
      <alignment horizontal="center"/>
    </xf>
    <xf numFmtId="14" fontId="29" fillId="13" borderId="0" xfId="0" applyNumberFormat="1" applyFont="1" applyFill="1" applyAlignment="1">
      <alignment horizontal="center"/>
    </xf>
    <xf numFmtId="0" fontId="29" fillId="5" borderId="13" xfId="0" applyFont="1" applyFill="1" applyBorder="1" applyAlignment="1">
      <alignment horizontal="left" wrapText="1"/>
    </xf>
    <xf numFmtId="0" fontId="29" fillId="5" borderId="14" xfId="0" applyFont="1" applyFill="1" applyBorder="1" applyAlignment="1">
      <alignment horizontal="left" wrapText="1"/>
    </xf>
    <xf numFmtId="0" fontId="29" fillId="5" borderId="15" xfId="0" applyFont="1" applyFill="1" applyBorder="1" applyAlignment="1">
      <alignment horizontal="left" wrapText="1"/>
    </xf>
    <xf numFmtId="0" fontId="29" fillId="5" borderId="20" xfId="0" applyFont="1" applyFill="1" applyBorder="1" applyAlignment="1">
      <alignment horizontal="justify" vertical="top" wrapText="1"/>
    </xf>
    <xf numFmtId="0" fontId="29" fillId="5" borderId="13" xfId="0" applyFont="1" applyFill="1" applyBorder="1" applyAlignment="1">
      <alignment horizontal="justify" vertical="top" wrapText="1"/>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26"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29" fillId="5" borderId="27" xfId="0" applyFont="1" applyFill="1" applyBorder="1" applyAlignment="1">
      <alignment horizontal="justify" vertical="top" wrapText="1"/>
    </xf>
    <xf numFmtId="0" fontId="29" fillId="5" borderId="17" xfId="0" applyFont="1" applyFill="1" applyBorder="1" applyAlignment="1">
      <alignment horizontal="justify" vertical="top"/>
    </xf>
    <xf numFmtId="0" fontId="29" fillId="5" borderId="0" xfId="0" applyFont="1" applyFill="1" applyAlignment="1">
      <alignment horizontal="justify" vertical="top"/>
    </xf>
    <xf numFmtId="0" fontId="29" fillId="5" borderId="18" xfId="0" applyFont="1" applyFill="1" applyBorder="1" applyAlignment="1">
      <alignment horizontal="justify" vertical="top"/>
    </xf>
    <xf numFmtId="0" fontId="29" fillId="5" borderId="17" xfId="0" applyFont="1" applyFill="1" applyBorder="1" applyAlignment="1">
      <alignment horizontal="justify" vertical="top" wrapText="1"/>
    </xf>
    <xf numFmtId="0" fontId="29" fillId="5" borderId="0" xfId="0" applyFont="1" applyFill="1" applyAlignment="1">
      <alignment horizontal="justify" vertical="top" wrapText="1"/>
    </xf>
    <xf numFmtId="0" fontId="29" fillId="5" borderId="18" xfId="0" applyFont="1" applyFill="1" applyBorder="1" applyAlignment="1">
      <alignment horizontal="justify" vertical="top" wrapText="1"/>
    </xf>
    <xf numFmtId="0" fontId="29" fillId="5" borderId="21" xfId="0" applyFont="1" applyFill="1" applyBorder="1" applyAlignment="1">
      <alignment horizontal="justify" vertical="top"/>
    </xf>
    <xf numFmtId="0" fontId="29" fillId="5" borderId="7" xfId="0" applyFont="1" applyFill="1" applyBorder="1" applyAlignment="1">
      <alignment horizontal="justify" vertical="top"/>
    </xf>
    <xf numFmtId="0" fontId="29" fillId="5" borderId="22" xfId="0" applyFont="1" applyFill="1" applyBorder="1" applyAlignment="1">
      <alignment horizontal="justify" vertical="top"/>
    </xf>
    <xf numFmtId="0" fontId="29" fillId="5" borderId="26" xfId="0" applyFont="1" applyFill="1" applyBorder="1" applyAlignment="1">
      <alignment horizontal="justify" vertical="center" wrapText="1"/>
    </xf>
    <xf numFmtId="0" fontId="29" fillId="5" borderId="12" xfId="0" applyFont="1" applyFill="1" applyBorder="1" applyAlignment="1">
      <alignment horizontal="justify" vertical="center" wrapText="1"/>
    </xf>
    <xf numFmtId="0" fontId="29" fillId="5" borderId="27" xfId="0" applyFont="1" applyFill="1" applyBorder="1" applyAlignment="1">
      <alignment horizontal="justify" vertical="center" wrapText="1"/>
    </xf>
    <xf numFmtId="0" fontId="29" fillId="5" borderId="16" xfId="0" applyFont="1" applyFill="1" applyBorder="1" applyAlignment="1">
      <alignment horizontal="justify" vertical="top" wrapText="1"/>
    </xf>
    <xf numFmtId="176" fontId="29" fillId="5" borderId="13" xfId="0" applyNumberFormat="1" applyFont="1" applyFill="1" applyBorder="1" applyAlignment="1">
      <alignment horizontal="left" vertical="top" wrapText="1"/>
    </xf>
    <xf numFmtId="176" fontId="29" fillId="5" borderId="14" xfId="0" applyNumberFormat="1" applyFont="1" applyFill="1" applyBorder="1" applyAlignment="1">
      <alignment horizontal="left" vertical="top" wrapText="1"/>
    </xf>
    <xf numFmtId="176" fontId="29" fillId="5" borderId="15" xfId="0" applyNumberFormat="1" applyFont="1" applyFill="1" applyBorder="1" applyAlignment="1">
      <alignment horizontal="left" vertical="top" wrapText="1"/>
    </xf>
    <xf numFmtId="0" fontId="29" fillId="5" borderId="9" xfId="0" applyFont="1" applyFill="1" applyBorder="1" applyAlignment="1">
      <alignment horizontal="justify" vertical="top" wrapText="1"/>
    </xf>
    <xf numFmtId="0" fontId="52" fillId="5" borderId="7" xfId="0" applyFont="1" applyFill="1" applyBorder="1" applyAlignment="1">
      <alignment horizontal="center"/>
    </xf>
    <xf numFmtId="0" fontId="30" fillId="3" borderId="0" xfId="0" applyFont="1" applyFill="1" applyAlignment="1">
      <alignment wrapText="1"/>
    </xf>
    <xf numFmtId="0" fontId="54" fillId="5" borderId="0" xfId="0" applyFont="1" applyFill="1" applyAlignment="1">
      <alignment wrapText="1"/>
    </xf>
    <xf numFmtId="0" fontId="54" fillId="0" borderId="0" xfId="0" applyFont="1" applyAlignment="1">
      <alignment wrapText="1"/>
    </xf>
    <xf numFmtId="0" fontId="24" fillId="0" borderId="0" xfId="4" applyFont="1" applyAlignment="1">
      <alignment horizontal="justify" vertical="top"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0" fontId="14" fillId="0" borderId="0" xfId="4" applyFont="1" applyAlignment="1">
      <alignment horizontal="justify" wrapText="1"/>
    </xf>
    <xf numFmtId="176" fontId="24" fillId="5" borderId="0" xfId="4" applyNumberFormat="1" applyFont="1" applyFill="1" applyAlignment="1">
      <alignment horizontal="center"/>
    </xf>
  </cellXfs>
  <cellStyles count="19">
    <cellStyle name="Comma" xfId="1" builtinId="3"/>
    <cellStyle name="Comma 2" xfId="3" xr:uid="{00000000-0005-0000-0000-000001000000}"/>
    <cellStyle name="Comma 2 2" xfId="17" xr:uid="{00000000-0005-0000-0000-000002000000}"/>
    <cellStyle name="Comma 2 3" xfId="12" xr:uid="{00000000-0005-0000-0000-000003000000}"/>
    <cellStyle name="Comma 3" xfId="15" xr:uid="{00000000-0005-0000-0000-000004000000}"/>
    <cellStyle name="Comma 4" xfId="9" xr:uid="{00000000-0005-0000-0000-000005000000}"/>
    <cellStyle name="Currency" xfId="7" builtinId="4"/>
    <cellStyle name="Hyperlink" xfId="6" builtinId="8"/>
    <cellStyle name="Normal" xfId="0" builtinId="0"/>
    <cellStyle name="Normal 2" xfId="4" xr:uid="{00000000-0005-0000-0000-000009000000}"/>
    <cellStyle name="Normal 2 2" xfId="16" xr:uid="{00000000-0005-0000-0000-00000A000000}"/>
    <cellStyle name="Normal 2 3" xfId="11" xr:uid="{00000000-0005-0000-0000-00000B000000}"/>
    <cellStyle name="Normal 3" xfId="5" xr:uid="{00000000-0005-0000-0000-00000C000000}"/>
    <cellStyle name="Normal 3 2" xfId="14" xr:uid="{00000000-0005-0000-0000-00000D000000}"/>
    <cellStyle name="Normal 4" xfId="8" xr:uid="{00000000-0005-0000-0000-00000E000000}"/>
    <cellStyle name="Percent" xfId="2" builtinId="5"/>
    <cellStyle name="Percent 2" xfId="13" xr:uid="{00000000-0005-0000-0000-000010000000}"/>
    <cellStyle name="Percent 2 2" xfId="18" xr:uid="{00000000-0005-0000-0000-000011000000}"/>
    <cellStyle name="Percent 3" xfId="10" xr:uid="{00000000-0005-0000-0000-000012000000}"/>
  </cellStyles>
  <dxfs count="0"/>
  <tableStyles count="0" defaultTableStyle="TableStyleMedium2" defaultPivotStyle="PivotStyleLight16"/>
  <colors>
    <mruColors>
      <color rgb="FF0000FF"/>
      <color rgb="FFE7FCA2"/>
      <color rgb="FFDCFC76"/>
      <color rgb="FFFFFF00"/>
      <color rgb="FFFF9999"/>
      <color rgb="FFFF7C8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8</xdr:col>
      <xdr:colOff>121920</xdr:colOff>
      <xdr:row>5</xdr:row>
      <xdr:rowOff>45720</xdr:rowOff>
    </xdr:from>
    <xdr:to>
      <xdr:col>12</xdr:col>
      <xdr:colOff>97155</xdr:colOff>
      <xdr:row>30</xdr:row>
      <xdr:rowOff>130881</xdr:rowOff>
    </xdr:to>
    <xdr:pic>
      <xdr:nvPicPr>
        <xdr:cNvPr id="2" name="Picture 1">
          <a:extLst>
            <a:ext uri="{FF2B5EF4-FFF2-40B4-BE49-F238E27FC236}">
              <a16:creationId xmlns:a16="http://schemas.microsoft.com/office/drawing/2014/main" id="{71D7FFCD-5B9D-441D-9A82-05DE2A17A027}"/>
            </a:ext>
          </a:extLst>
        </xdr:cNvPr>
        <xdr:cNvPicPr>
          <a:picLocks noChangeAspect="1"/>
        </xdr:cNvPicPr>
      </xdr:nvPicPr>
      <xdr:blipFill>
        <a:blip xmlns:r="http://schemas.openxmlformats.org/officeDocument/2006/relationships" r:embed="rId1"/>
        <a:stretch>
          <a:fillRect/>
        </a:stretch>
      </xdr:blipFill>
      <xdr:spPr>
        <a:xfrm>
          <a:off x="9060180" y="861060"/>
          <a:ext cx="4358640" cy="5586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167640</xdr:colOff>
      <xdr:row>2</xdr:row>
      <xdr:rowOff>161925</xdr:rowOff>
    </xdr:from>
    <xdr:to>
      <xdr:col>11</xdr:col>
      <xdr:colOff>17283</xdr:colOff>
      <xdr:row>24</xdr:row>
      <xdr:rowOff>67491</xdr:rowOff>
    </xdr:to>
    <xdr:pic>
      <xdr:nvPicPr>
        <xdr:cNvPr id="2" name="Picture 1">
          <a:extLst>
            <a:ext uri="{FF2B5EF4-FFF2-40B4-BE49-F238E27FC236}">
              <a16:creationId xmlns:a16="http://schemas.microsoft.com/office/drawing/2014/main" id="{6E220280-BC0D-4259-9E8B-4E94B36FB627}"/>
            </a:ext>
          </a:extLst>
        </xdr:cNvPr>
        <xdr:cNvPicPr>
          <a:picLocks noChangeAspect="1"/>
        </xdr:cNvPicPr>
      </xdr:nvPicPr>
      <xdr:blipFill rotWithShape="1">
        <a:blip xmlns:r="http://schemas.openxmlformats.org/officeDocument/2006/relationships" r:embed="rId1"/>
        <a:srcRect t="930" b="2532"/>
        <a:stretch/>
      </xdr:blipFill>
      <xdr:spPr>
        <a:xfrm>
          <a:off x="5911215" y="523875"/>
          <a:ext cx="5383668" cy="4351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515957</xdr:colOff>
      <xdr:row>4</xdr:row>
      <xdr:rowOff>144779</xdr:rowOff>
    </xdr:from>
    <xdr:to>
      <xdr:col>25</xdr:col>
      <xdr:colOff>2879</xdr:colOff>
      <xdr:row>31</xdr:row>
      <xdr:rowOff>92557</xdr:rowOff>
    </xdr:to>
    <xdr:pic>
      <xdr:nvPicPr>
        <xdr:cNvPr id="2" name="Picture 1">
          <a:extLst>
            <a:ext uri="{FF2B5EF4-FFF2-40B4-BE49-F238E27FC236}">
              <a16:creationId xmlns:a16="http://schemas.microsoft.com/office/drawing/2014/main" id="{5C03706F-B26D-4386-AC73-430E10DF5EA4}"/>
            </a:ext>
          </a:extLst>
        </xdr:cNvPr>
        <xdr:cNvPicPr>
          <a:picLocks noChangeAspect="1"/>
        </xdr:cNvPicPr>
      </xdr:nvPicPr>
      <xdr:blipFill>
        <a:blip xmlns:r="http://schemas.openxmlformats.org/officeDocument/2006/relationships" r:embed="rId1"/>
        <a:stretch>
          <a:fillRect/>
        </a:stretch>
      </xdr:blipFill>
      <xdr:spPr>
        <a:xfrm>
          <a:off x="11441132" y="1259204"/>
          <a:ext cx="5769612" cy="4874108"/>
        </a:xfrm>
        <a:prstGeom prst="rect">
          <a:avLst/>
        </a:prstGeom>
      </xdr:spPr>
    </xdr:pic>
    <xdr:clientData/>
  </xdr:twoCellAnchor>
  <xdr:twoCellAnchor editAs="oneCell">
    <xdr:from>
      <xdr:col>0</xdr:col>
      <xdr:colOff>152400</xdr:colOff>
      <xdr:row>15</xdr:row>
      <xdr:rowOff>142875</xdr:rowOff>
    </xdr:from>
    <xdr:to>
      <xdr:col>6</xdr:col>
      <xdr:colOff>396240</xdr:colOff>
      <xdr:row>23</xdr:row>
      <xdr:rowOff>112150</xdr:rowOff>
    </xdr:to>
    <xdr:pic>
      <xdr:nvPicPr>
        <xdr:cNvPr id="3" name="Picture 2">
          <a:extLst>
            <a:ext uri="{FF2B5EF4-FFF2-40B4-BE49-F238E27FC236}">
              <a16:creationId xmlns:a16="http://schemas.microsoft.com/office/drawing/2014/main" id="{3AF15E90-BA61-4E7F-8DD8-EE77DF9E0FDB}"/>
            </a:ext>
          </a:extLst>
        </xdr:cNvPr>
        <xdr:cNvPicPr>
          <a:picLocks noChangeAspect="1"/>
        </xdr:cNvPicPr>
      </xdr:nvPicPr>
      <xdr:blipFill>
        <a:blip xmlns:r="http://schemas.openxmlformats.org/officeDocument/2006/relationships" r:embed="rId2"/>
        <a:stretch>
          <a:fillRect/>
        </a:stretch>
      </xdr:blipFill>
      <xdr:spPr>
        <a:xfrm>
          <a:off x="152400" y="3276600"/>
          <a:ext cx="3497580" cy="1426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28</xdr:row>
      <xdr:rowOff>114300</xdr:rowOff>
    </xdr:from>
    <xdr:to>
      <xdr:col>11</xdr:col>
      <xdr:colOff>15240</xdr:colOff>
      <xdr:row>38</xdr:row>
      <xdr:rowOff>38100</xdr:rowOff>
    </xdr:to>
    <xdr:pic>
      <xdr:nvPicPr>
        <xdr:cNvPr id="11" name="Picture 10">
          <a:extLst>
            <a:ext uri="{FF2B5EF4-FFF2-40B4-BE49-F238E27FC236}">
              <a16:creationId xmlns:a16="http://schemas.microsoft.com/office/drawing/2014/main" id="{E34BCC2E-A449-45F7-A672-115646235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95875"/>
          <a:ext cx="6734175" cy="165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oregon.gov/pers/Documents/Financials/CAFR/2019-CAFR.pdf"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oregon.gov/pers/EMP/Documents/GASB/2020/2019-GASB68-Letter-from-Actuary.pdf" TargetMode="External"/><Relationship Id="rId2" Type="http://schemas.openxmlformats.org/officeDocument/2006/relationships/hyperlink" Target="https://www.oregon.gov/pers/Documents/Financials/CAFR/2019-CAFR.pdf" TargetMode="External"/><Relationship Id="rId1" Type="http://schemas.openxmlformats.org/officeDocument/2006/relationships/hyperlink" Target="https://www.oregon.gov/pers/Documents/Financials/CAFR/2019-CAFR.pdf"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hyperlink" Target="https://www.oregon.gov/pers/EMP/Documents/GASB/2019/PERS%20GASB%2068%20Report%20FY%206.30.19.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regon.gov/pers/EMP/Pages/GASB.aspx" TargetMode="External"/><Relationship Id="rId7" Type="http://schemas.openxmlformats.org/officeDocument/2006/relationships/comments" Target="../comments3.xml"/><Relationship Id="rId2" Type="http://schemas.openxmlformats.org/officeDocument/2006/relationships/hyperlink" Target="https://www.oregon.gov/pers/EMP/Documents/GASB/2020/GASB-68-Individual-Employer-Schedules.pdf" TargetMode="External"/><Relationship Id="rId1" Type="http://schemas.openxmlformats.org/officeDocument/2006/relationships/hyperlink" Target="https://www.oregon.gov/pers/EMP/Documents/GASB/2020/Cash-Contributions-FY2020-8-13-2020.pdf" TargetMode="External"/><Relationship Id="rId6" Type="http://schemas.openxmlformats.org/officeDocument/2006/relationships/vmlDrawing" Target="../drawings/vmlDrawing3.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pers/EMP/Documents/GASB/2020/GASB68-Exhibits-6-30-2019.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oregon.gov/pers/Documents/Financials/CAFR/2019-CAF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L70"/>
  <sheetViews>
    <sheetView tabSelected="1" zoomScale="120" zoomScaleNormal="120" workbookViewId="0">
      <selection activeCell="J41" sqref="J41"/>
    </sheetView>
  </sheetViews>
  <sheetFormatPr defaultRowHeight="14.4"/>
  <cols>
    <col min="1" max="1" width="3.33203125" customWidth="1"/>
    <col min="2" max="2" width="39.5546875" customWidth="1"/>
    <col min="3" max="3" width="0" hidden="1" customWidth="1"/>
    <col min="4" max="4" width="2.33203125" customWidth="1"/>
    <col min="5" max="5" width="11.109375" customWidth="1"/>
    <col min="6" max="6" width="5.33203125" style="88" customWidth="1"/>
    <col min="7" max="7" width="11.33203125" bestFit="1" customWidth="1"/>
    <col min="8" max="8" width="4" customWidth="1"/>
    <col min="9" max="9" width="13" customWidth="1"/>
    <col min="10" max="10" width="8.109375" style="91" customWidth="1"/>
    <col min="11" max="11" width="11.33203125" style="91" bestFit="1" customWidth="1"/>
  </cols>
  <sheetData>
    <row r="1" spans="1:11">
      <c r="A1" t="s">
        <v>264</v>
      </c>
    </row>
    <row r="2" spans="1:11">
      <c r="A2" t="s">
        <v>174</v>
      </c>
    </row>
    <row r="3" spans="1:11">
      <c r="A3" s="369">
        <v>44012</v>
      </c>
      <c r="B3" s="369"/>
      <c r="C3" s="369"/>
      <c r="D3" s="369"/>
      <c r="E3" s="369"/>
      <c r="F3" s="369"/>
    </row>
    <row r="5" spans="1:11">
      <c r="A5" s="1"/>
      <c r="B5" s="1"/>
      <c r="E5" s="88"/>
      <c r="G5" s="83"/>
      <c r="I5" s="83"/>
    </row>
    <row r="6" spans="1:11">
      <c r="A6" s="1"/>
      <c r="B6" s="1"/>
      <c r="C6" s="1"/>
      <c r="E6" s="83" t="s">
        <v>177</v>
      </c>
      <c r="G6" s="83" t="s">
        <v>181</v>
      </c>
      <c r="H6" s="1"/>
      <c r="I6" s="83" t="s">
        <v>179</v>
      </c>
    </row>
    <row r="7" spans="1:11" s="83" customFormat="1">
      <c r="C7" s="84">
        <v>2014</v>
      </c>
      <c r="E7" s="84" t="s">
        <v>178</v>
      </c>
      <c r="G7" s="84" t="s">
        <v>182</v>
      </c>
      <c r="I7" s="84" t="s">
        <v>178</v>
      </c>
      <c r="J7" s="94" t="s">
        <v>184</v>
      </c>
      <c r="K7" s="92"/>
    </row>
    <row r="9" spans="1:11">
      <c r="B9" s="1" t="s">
        <v>180</v>
      </c>
    </row>
    <row r="10" spans="1:11">
      <c r="B10" t="s">
        <v>318</v>
      </c>
      <c r="E10" s="184">
        <v>-482866</v>
      </c>
      <c r="G10" s="85">
        <f>I10-E10</f>
        <v>-117676</v>
      </c>
      <c r="I10" s="85">
        <f>'FY19 Entries'!E40</f>
        <v>-600542</v>
      </c>
    </row>
    <row r="11" spans="1:11">
      <c r="B11" s="21" t="s">
        <v>176</v>
      </c>
      <c r="E11" s="184">
        <v>272369</v>
      </c>
      <c r="G11" s="85">
        <f t="shared" ref="G11:G12" si="0">I11-E11</f>
        <v>43435</v>
      </c>
      <c r="I11" s="85">
        <f>'FY19 Entries'!F40</f>
        <v>315804</v>
      </c>
    </row>
    <row r="12" spans="1:11">
      <c r="B12" s="21" t="s">
        <v>175</v>
      </c>
      <c r="E12" s="184">
        <v>-121398</v>
      </c>
      <c r="G12" s="85">
        <f t="shared" si="0"/>
        <v>43189</v>
      </c>
      <c r="I12" s="85">
        <f>'FY19 Entries'!G40</f>
        <v>-78209</v>
      </c>
    </row>
    <row r="13" spans="1:11">
      <c r="B13" s="21" t="s">
        <v>417</v>
      </c>
      <c r="E13" s="184"/>
      <c r="G13" s="86">
        <f>-SUM(G10:G12)</f>
        <v>31052</v>
      </c>
      <c r="I13" s="85"/>
    </row>
    <row r="14" spans="1:11">
      <c r="E14" s="96"/>
    </row>
    <row r="15" spans="1:11">
      <c r="B15" s="1" t="str">
        <f>'FY19 Entries'!A22</f>
        <v>Electric</v>
      </c>
      <c r="E15" s="167"/>
    </row>
    <row r="16" spans="1:11">
      <c r="B16" t="s">
        <v>318</v>
      </c>
      <c r="E16" s="184">
        <v>-233057</v>
      </c>
      <c r="G16" s="85">
        <f>I16-E16</f>
        <v>-370165</v>
      </c>
      <c r="I16" s="85">
        <f>'FY19 Entries'!E22</f>
        <v>-603222</v>
      </c>
    </row>
    <row r="17" spans="1:9">
      <c r="B17" s="21" t="s">
        <v>176</v>
      </c>
      <c r="C17" s="85">
        <v>0</v>
      </c>
      <c r="D17" s="85"/>
      <c r="E17" s="184">
        <v>131460</v>
      </c>
      <c r="F17" s="95"/>
      <c r="G17" s="85">
        <f t="shared" ref="G17:G18" si="1">I17-E17</f>
        <v>185754</v>
      </c>
      <c r="H17" s="85"/>
      <c r="I17" s="85">
        <f>'FY19 Entries'!F22</f>
        <v>317214</v>
      </c>
    </row>
    <row r="18" spans="1:9">
      <c r="A18" s="82"/>
      <c r="B18" s="21" t="s">
        <v>175</v>
      </c>
      <c r="C18" s="85"/>
      <c r="D18" s="85"/>
      <c r="E18" s="184">
        <v>-58593</v>
      </c>
      <c r="F18" s="95"/>
      <c r="G18" s="85">
        <f t="shared" si="1"/>
        <v>-19966</v>
      </c>
      <c r="H18" s="85"/>
      <c r="I18" s="85">
        <f>'FY19 Entries'!G22</f>
        <v>-78559</v>
      </c>
    </row>
    <row r="19" spans="1:9">
      <c r="B19" s="21" t="s">
        <v>417</v>
      </c>
      <c r="C19" s="85">
        <v>0</v>
      </c>
      <c r="D19" s="85"/>
      <c r="E19" s="184"/>
      <c r="F19" s="95"/>
      <c r="G19" s="85">
        <f>-SUM(G16:G18)</f>
        <v>204377</v>
      </c>
      <c r="H19" s="85"/>
      <c r="I19" s="85"/>
    </row>
    <row r="20" spans="1:9">
      <c r="C20" s="85"/>
      <c r="D20" s="85"/>
      <c r="E20" s="96"/>
      <c r="F20" s="95"/>
      <c r="G20" s="85"/>
      <c r="H20" s="85"/>
      <c r="I20" s="85"/>
    </row>
    <row r="21" spans="1:9">
      <c r="B21" s="1" t="str">
        <f>'FY19 Entries'!A23</f>
        <v>Emergency Services</v>
      </c>
      <c r="C21" s="85"/>
      <c r="D21" s="85"/>
      <c r="E21" s="184"/>
      <c r="F21" s="95"/>
      <c r="G21" s="85"/>
      <c r="H21" s="85"/>
      <c r="I21" s="85"/>
    </row>
    <row r="22" spans="1:9">
      <c r="B22" t="s">
        <v>318</v>
      </c>
      <c r="C22" s="85">
        <v>0</v>
      </c>
      <c r="D22" s="85"/>
      <c r="E22" s="184">
        <v>-161918</v>
      </c>
      <c r="F22" s="95"/>
      <c r="G22" s="85">
        <f>I22-E22</f>
        <v>62114</v>
      </c>
      <c r="H22" s="85"/>
      <c r="I22" s="85">
        <f>'FY19 Entries'!E23</f>
        <v>-99804</v>
      </c>
    </row>
    <row r="23" spans="1:9">
      <c r="A23" s="82"/>
      <c r="B23" s="21" t="s">
        <v>176</v>
      </c>
      <c r="C23" s="85"/>
      <c r="D23" s="85"/>
      <c r="E23" s="184">
        <v>91333</v>
      </c>
      <c r="F23" s="95"/>
      <c r="G23" s="85">
        <f t="shared" ref="G23:G24" si="2">I23-E23</f>
        <v>-38849</v>
      </c>
      <c r="H23" s="85"/>
      <c r="I23" s="85">
        <f>'FY19 Entries'!F23</f>
        <v>52484</v>
      </c>
    </row>
    <row r="24" spans="1:9">
      <c r="A24" s="82"/>
      <c r="B24" s="21" t="s">
        <v>175</v>
      </c>
      <c r="C24" s="86"/>
      <c r="D24" s="85"/>
      <c r="E24" s="184">
        <v>-40708</v>
      </c>
      <c r="F24" s="95"/>
      <c r="G24" s="85">
        <f t="shared" si="2"/>
        <v>27710</v>
      </c>
      <c r="H24" s="85"/>
      <c r="I24" s="85">
        <f>'FY19 Entries'!G23</f>
        <v>-12998</v>
      </c>
    </row>
    <row r="25" spans="1:9">
      <c r="B25" s="21" t="s">
        <v>417</v>
      </c>
      <c r="C25" s="85">
        <v>0</v>
      </c>
      <c r="D25" s="85"/>
      <c r="E25" s="184"/>
      <c r="F25" s="95"/>
      <c r="G25" s="85">
        <f>-SUM(G22:G24)</f>
        <v>-50975</v>
      </c>
      <c r="H25" s="85"/>
      <c r="I25" s="85"/>
    </row>
    <row r="26" spans="1:9">
      <c r="C26" s="85"/>
      <c r="D26" s="85"/>
      <c r="E26" s="96"/>
      <c r="F26" s="95"/>
      <c r="G26" s="85"/>
      <c r="H26" s="85"/>
      <c r="I26" s="85"/>
    </row>
    <row r="27" spans="1:9">
      <c r="A27" s="1"/>
      <c r="B27" s="1" t="str">
        <f>'FY19 Entries'!A24</f>
        <v>Sewer</v>
      </c>
      <c r="C27" s="85"/>
      <c r="D27" s="85"/>
      <c r="E27" s="184"/>
      <c r="F27" s="95"/>
      <c r="G27" s="85"/>
      <c r="H27" s="85"/>
      <c r="I27" s="85"/>
    </row>
    <row r="28" spans="1:9">
      <c r="B28" t="s">
        <v>318</v>
      </c>
      <c r="C28" s="85">
        <v>0</v>
      </c>
      <c r="D28" s="85"/>
      <c r="E28" s="184">
        <v>-40363</v>
      </c>
      <c r="F28" s="95"/>
      <c r="G28" s="85">
        <f>I28-E28</f>
        <v>-26842</v>
      </c>
      <c r="H28" s="85"/>
      <c r="I28" s="85">
        <f>'FY19 Entries'!E24</f>
        <v>-67205</v>
      </c>
    </row>
    <row r="29" spans="1:9">
      <c r="A29" s="82"/>
      <c r="B29" s="21" t="s">
        <v>176</v>
      </c>
      <c r="C29" s="85"/>
      <c r="D29" s="85"/>
      <c r="E29" s="184">
        <v>22767</v>
      </c>
      <c r="F29" s="95"/>
      <c r="G29" s="85">
        <f t="shared" ref="G29:G30" si="3">I29-E29</f>
        <v>12574</v>
      </c>
      <c r="H29" s="85"/>
      <c r="I29" s="85">
        <f>'FY19 Entries'!F24</f>
        <v>35341</v>
      </c>
    </row>
    <row r="30" spans="1:9">
      <c r="B30" s="21" t="s">
        <v>175</v>
      </c>
      <c r="C30" s="85">
        <v>0</v>
      </c>
      <c r="D30" s="85"/>
      <c r="E30" s="184">
        <v>-10148</v>
      </c>
      <c r="F30" s="95"/>
      <c r="G30" s="85">
        <f t="shared" si="3"/>
        <v>1396</v>
      </c>
      <c r="H30" s="85"/>
      <c r="I30" s="85">
        <f>'FY19 Entries'!G24</f>
        <v>-8752</v>
      </c>
    </row>
    <row r="31" spans="1:9">
      <c r="B31" s="21" t="s">
        <v>417</v>
      </c>
      <c r="C31" s="85"/>
      <c r="D31" s="85"/>
      <c r="F31" s="95"/>
      <c r="G31" s="85">
        <f>-SUM(G28:G30)</f>
        <v>12872</v>
      </c>
      <c r="H31" s="85"/>
      <c r="I31" s="85"/>
    </row>
    <row r="32" spans="1:9">
      <c r="E32" s="96"/>
    </row>
    <row r="33" spans="2:12">
      <c r="B33" s="1" t="str">
        <f>'FY19 Entries'!A25</f>
        <v>Water</v>
      </c>
      <c r="C33" s="85"/>
      <c r="D33" s="85"/>
      <c r="E33" s="85"/>
      <c r="F33" s="95"/>
      <c r="G33" s="85"/>
      <c r="H33" s="85"/>
      <c r="I33" s="85"/>
    </row>
    <row r="34" spans="2:12">
      <c r="B34" t="s">
        <v>318</v>
      </c>
      <c r="C34" s="85">
        <v>0</v>
      </c>
      <c r="D34" s="85"/>
      <c r="E34" s="184">
        <v>-61773</v>
      </c>
      <c r="F34" s="95"/>
      <c r="G34" s="85">
        <f>I34-E34</f>
        <v>-41082</v>
      </c>
      <c r="H34" s="85"/>
      <c r="I34" s="85">
        <f>'FY19 Entries'!E25</f>
        <v>-102855</v>
      </c>
    </row>
    <row r="35" spans="2:12">
      <c r="B35" s="21" t="s">
        <v>176</v>
      </c>
      <c r="C35" s="85"/>
      <c r="D35" s="85"/>
      <c r="E35" s="184">
        <v>34844</v>
      </c>
      <c r="F35" s="95"/>
      <c r="G35" s="85">
        <f t="shared" ref="G35:G36" si="4">I35-E35</f>
        <v>19244</v>
      </c>
      <c r="H35" s="85"/>
      <c r="I35" s="85">
        <f>'FY19 Entries'!F25</f>
        <v>54088</v>
      </c>
    </row>
    <row r="36" spans="2:12">
      <c r="B36" s="21" t="s">
        <v>175</v>
      </c>
      <c r="C36" s="85">
        <v>0</v>
      </c>
      <c r="D36" s="85"/>
      <c r="E36" s="184">
        <v>-15530</v>
      </c>
      <c r="F36" s="95"/>
      <c r="G36" s="85">
        <f t="shared" si="4"/>
        <v>2135</v>
      </c>
      <c r="H36" s="85"/>
      <c r="I36" s="85">
        <f>'FY19 Entries'!G25</f>
        <v>-13395</v>
      </c>
    </row>
    <row r="37" spans="2:12">
      <c r="B37" s="21" t="s">
        <v>417</v>
      </c>
      <c r="C37" s="85"/>
      <c r="D37" s="85"/>
      <c r="E37" s="85"/>
      <c r="F37" s="95"/>
      <c r="G37" s="85">
        <f>-SUM(G34:G36)</f>
        <v>19703</v>
      </c>
      <c r="H37" s="85"/>
      <c r="I37" s="85"/>
    </row>
    <row r="38" spans="2:12">
      <c r="E38" s="96"/>
    </row>
    <row r="39" spans="2:12">
      <c r="B39" s="1" t="str">
        <f>'FY19 Entries'!A26</f>
        <v>For additional enterprise funds</v>
      </c>
      <c r="C39" s="85"/>
      <c r="D39" s="85"/>
      <c r="E39" s="85"/>
      <c r="F39" s="95"/>
      <c r="G39" s="85"/>
      <c r="H39" s="85"/>
      <c r="I39" s="85"/>
    </row>
    <row r="40" spans="2:12">
      <c r="B40" t="s">
        <v>318</v>
      </c>
      <c r="C40" s="85">
        <v>0</v>
      </c>
      <c r="D40" s="85"/>
      <c r="E40" s="184">
        <v>0</v>
      </c>
      <c r="F40" s="95"/>
      <c r="G40" s="85">
        <f>I40-E40</f>
        <v>0</v>
      </c>
      <c r="H40" s="85"/>
      <c r="I40" s="85">
        <f>'FY19 Entries'!E26</f>
        <v>0</v>
      </c>
    </row>
    <row r="41" spans="2:12">
      <c r="B41" s="21" t="s">
        <v>176</v>
      </c>
      <c r="C41" s="85"/>
      <c r="D41" s="85"/>
      <c r="E41" s="184">
        <v>0</v>
      </c>
      <c r="F41" s="95"/>
      <c r="G41" s="85">
        <f t="shared" ref="G41:G42" si="5">I41-E41</f>
        <v>0</v>
      </c>
      <c r="H41" s="85"/>
      <c r="I41" s="85">
        <f>'FY19 Entries'!F26</f>
        <v>0</v>
      </c>
    </row>
    <row r="42" spans="2:12">
      <c r="B42" s="21" t="s">
        <v>175</v>
      </c>
      <c r="C42" s="85">
        <v>0</v>
      </c>
      <c r="D42" s="85"/>
      <c r="E42" s="184">
        <v>0</v>
      </c>
      <c r="F42" s="95"/>
      <c r="G42" s="85">
        <f t="shared" si="5"/>
        <v>0</v>
      </c>
      <c r="H42" s="85"/>
      <c r="I42" s="85">
        <f>'FY19 Entries'!G26</f>
        <v>0</v>
      </c>
    </row>
    <row r="43" spans="2:12">
      <c r="B43" s="21" t="s">
        <v>417</v>
      </c>
      <c r="C43" s="85"/>
      <c r="D43" s="85"/>
      <c r="E43" s="85"/>
      <c r="F43" s="95"/>
      <c r="G43" s="85">
        <f>-SUM(G40:G42)</f>
        <v>0</v>
      </c>
      <c r="H43" s="85"/>
      <c r="I43" s="85"/>
    </row>
    <row r="44" spans="2:12">
      <c r="E44" s="96"/>
    </row>
    <row r="45" spans="2:12">
      <c r="B45" s="1" t="s">
        <v>183</v>
      </c>
      <c r="J45" s="93"/>
    </row>
    <row r="46" spans="2:12">
      <c r="B46" t="s">
        <v>318</v>
      </c>
      <c r="E46" s="85">
        <f>E10+E16+E22+E28+E34+E40</f>
        <v>-979977</v>
      </c>
      <c r="F46" s="96"/>
      <c r="G46" s="85">
        <f>G10+G16+G22+G28+G34+G40</f>
        <v>-493651</v>
      </c>
      <c r="H46" s="91"/>
      <c r="I46" s="85">
        <f>I10+I16+I22+I28+I34+I40</f>
        <v>-1473628</v>
      </c>
      <c r="K46" s="197">
        <f>I46-'FY19 Entries'!E48</f>
        <v>0</v>
      </c>
      <c r="L46" s="197">
        <f>E46+G46-I46</f>
        <v>0</v>
      </c>
    </row>
    <row r="47" spans="2:12" s="87" customFormat="1">
      <c r="B47" s="21" t="s">
        <v>176</v>
      </c>
      <c r="E47" s="85">
        <f>E11+E17+E23+E29+E35+E41</f>
        <v>552773</v>
      </c>
      <c r="F47" s="97"/>
      <c r="G47" s="85">
        <f>G11+G17+G23+G29+G35+G41</f>
        <v>222158</v>
      </c>
      <c r="H47" s="91"/>
      <c r="I47" s="85">
        <f>I11+I17+I23+I29+I35+I41</f>
        <v>774931</v>
      </c>
      <c r="J47" s="91"/>
      <c r="K47" s="197">
        <f>I47-'FY19 Entries'!F48</f>
        <v>0</v>
      </c>
      <c r="L47" s="197">
        <f t="shared" ref="L47:L48" si="6">E47+G47-I47</f>
        <v>0</v>
      </c>
    </row>
    <row r="48" spans="2:12">
      <c r="B48" s="21" t="s">
        <v>175</v>
      </c>
      <c r="E48" s="85">
        <f>E12+E18+E24+E30+E36+E42</f>
        <v>-246377</v>
      </c>
      <c r="F48" s="96"/>
      <c r="G48" s="85">
        <f>G12+G18+G24+G30+G36+G42</f>
        <v>54464</v>
      </c>
      <c r="H48" s="91"/>
      <c r="I48" s="85">
        <f>I12+I18+I24+I30+I36+I42</f>
        <v>-191913</v>
      </c>
      <c r="K48" s="197">
        <f>I48-'FY19 Entries'!G48</f>
        <v>0</v>
      </c>
      <c r="L48" s="197">
        <f t="shared" si="6"/>
        <v>0</v>
      </c>
    </row>
    <row r="49" spans="2:11">
      <c r="B49" s="21" t="s">
        <v>417</v>
      </c>
      <c r="E49" s="87"/>
      <c r="F49" s="96"/>
      <c r="G49" s="85">
        <f>-SUM(G46:G48)</f>
        <v>217029</v>
      </c>
      <c r="H49" s="91"/>
      <c r="I49" s="85"/>
      <c r="K49" s="197">
        <f>G49-'FY19 Entries'!M60</f>
        <v>0</v>
      </c>
    </row>
    <row r="50" spans="2:11">
      <c r="E50" s="96"/>
    </row>
    <row r="52" spans="2:11">
      <c r="B52" s="89" t="s">
        <v>185</v>
      </c>
    </row>
    <row r="53" spans="2:11">
      <c r="B53" t="str">
        <f>'FY19 Entries'!A10</f>
        <v>Gov't Fund-General Government</v>
      </c>
      <c r="I53" s="90">
        <f>$G$13*('FY19 Entries'!D10/SUM('FY19 Entries'!$D$10:$D$21))</f>
        <v>29469.215734640224</v>
      </c>
    </row>
    <row r="54" spans="2:11">
      <c r="B54" t="str">
        <f>'FY19 Entries'!A11</f>
        <v>Gov't Fund-Highways and Streets</v>
      </c>
      <c r="I54" s="358">
        <f>$G$13*('FY19 Entries'!D11/SUM('FY19 Entries'!$D$10:$D$21))</f>
        <v>1582.7842653597738</v>
      </c>
    </row>
    <row r="55" spans="2:11">
      <c r="B55" t="str">
        <f>'FY19 Entries'!A12</f>
        <v>For additional governmental funds</v>
      </c>
      <c r="I55" s="358">
        <f>$G$13*('FY19 Entries'!D12/SUM('FY19 Entries'!$D$10:$D$21))</f>
        <v>0</v>
      </c>
    </row>
    <row r="56" spans="2:11">
      <c r="B56" t="str">
        <f>'FY19 Entries'!A13</f>
        <v>For additional governmental funds</v>
      </c>
      <c r="I56" s="358">
        <f>$G$13*('FY19 Entries'!D13/SUM('FY19 Entries'!$D$10:$D$21))</f>
        <v>0</v>
      </c>
    </row>
    <row r="57" spans="2:11">
      <c r="B57" t="str">
        <f>'FY19 Entries'!A14</f>
        <v>For additional governmental funds</v>
      </c>
      <c r="I57" s="358">
        <f>$G$13*('FY19 Entries'!D14/SUM('FY19 Entries'!$D$10:$D$21))</f>
        <v>0</v>
      </c>
    </row>
    <row r="58" spans="2:11" hidden="1">
      <c r="B58" t="str">
        <f>'FY19 Entries'!A15</f>
        <v>For additional governmental funds</v>
      </c>
      <c r="I58" s="87">
        <f>$G$13*('FY19 Entries'!D15/SUM('FY19 Entries'!$D$10:$D$21))</f>
        <v>0</v>
      </c>
    </row>
    <row r="59" spans="2:11" hidden="1">
      <c r="B59" t="str">
        <f>'FY19 Entries'!A16</f>
        <v>For additional governmental funds</v>
      </c>
      <c r="I59" s="87">
        <f>$G$13*('FY19 Entries'!D16/SUM('FY19 Entries'!$D$10:$D$21))</f>
        <v>0</v>
      </c>
    </row>
    <row r="60" spans="2:11" hidden="1">
      <c r="B60" t="str">
        <f>'FY19 Entries'!A17</f>
        <v>For additional governmental funds</v>
      </c>
      <c r="I60" s="87">
        <f>$G$13*('FY19 Entries'!D17/SUM('FY19 Entries'!$D$10:$D$21))</f>
        <v>0</v>
      </c>
    </row>
    <row r="61" spans="2:11" hidden="1">
      <c r="B61" t="str">
        <f>'FY19 Entries'!A18</f>
        <v>For additional governmental funds</v>
      </c>
      <c r="I61" s="87">
        <f>$G$13*('FY19 Entries'!D18/SUM('FY19 Entries'!$D$10:$D$21))</f>
        <v>0</v>
      </c>
    </row>
    <row r="62" spans="2:11" hidden="1">
      <c r="B62" t="str">
        <f>'FY19 Entries'!A19</f>
        <v>For additional governmental funds</v>
      </c>
      <c r="I62" s="87">
        <f>$G$13*('FY19 Entries'!D19/SUM('FY19 Entries'!$D$10:$D$21))</f>
        <v>0</v>
      </c>
    </row>
    <row r="63" spans="2:11" hidden="1">
      <c r="B63" t="str">
        <f>'FY19 Entries'!A20</f>
        <v>For additional governmental funds</v>
      </c>
      <c r="I63" s="87">
        <f>$G$13*('FY19 Entries'!D20/SUM('FY19 Entries'!$D$10:$D$21))</f>
        <v>0</v>
      </c>
    </row>
    <row r="64" spans="2:11" hidden="1">
      <c r="B64" t="str">
        <f>'FY19 Entries'!A21</f>
        <v>For additional governmental funds</v>
      </c>
      <c r="I64" s="87">
        <f>$G$13*('FY19 Entries'!D21/SUM('FY19 Entries'!$D$10:$D$21))</f>
        <v>0</v>
      </c>
    </row>
    <row r="65" spans="7:9" ht="15" thickBot="1">
      <c r="I65" s="229">
        <f>SUM(I53:I59)</f>
        <v>31051.999999999996</v>
      </c>
    </row>
    <row r="66" spans="7:9" ht="15" thickTop="1"/>
    <row r="67" spans="7:9">
      <c r="G67" s="359">
        <f>SUM(G10:G49)</f>
        <v>0</v>
      </c>
      <c r="H67" s="85"/>
      <c r="I67" s="359">
        <f>I65-G13</f>
        <v>0</v>
      </c>
    </row>
    <row r="70" spans="7:9">
      <c r="G70" s="85"/>
    </row>
  </sheetData>
  <mergeCells count="3">
    <mergeCell ref="A3:B3"/>
    <mergeCell ref="C3:D3"/>
    <mergeCell ref="E3:F3"/>
  </mergeCells>
  <pageMargins left="0.7" right="0.7" top="0.75" bottom="0.75" header="0.3" footer="0.3"/>
  <pageSetup scale="81"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26"/>
  <sheetViews>
    <sheetView topLeftCell="L1" workbookViewId="0">
      <selection activeCell="AC23" sqref="AC23"/>
    </sheetView>
  </sheetViews>
  <sheetFormatPr defaultColWidth="9.109375" defaultRowHeight="14.4"/>
  <cols>
    <col min="1" max="1" width="20.33203125" customWidth="1"/>
    <col min="2" max="2" width="1.6640625" customWidth="1"/>
    <col min="3" max="3" width="11.109375" customWidth="1"/>
    <col min="4" max="4" width="1.6640625" customWidth="1"/>
    <col min="5" max="5" width="11.109375" customWidth="1"/>
    <col min="6" max="6" width="1.6640625" customWidth="1"/>
    <col min="7" max="7" width="11.109375" customWidth="1"/>
    <col min="9" max="9" width="30.33203125" style="99" customWidth="1"/>
    <col min="10" max="10" width="3.6640625" style="99" customWidth="1"/>
    <col min="11" max="11" width="18.88671875" style="99" customWidth="1"/>
    <col min="12" max="12" width="3.6640625" style="99" customWidth="1"/>
    <col min="13" max="13" width="19" style="99" customWidth="1"/>
    <col min="14" max="14" width="9.109375" style="99"/>
    <col min="17" max="29" width="9.109375" style="345"/>
  </cols>
  <sheetData>
    <row r="1" spans="1:17" ht="45" customHeight="1">
      <c r="A1" s="347" t="s">
        <v>404</v>
      </c>
      <c r="I1" s="298" t="s">
        <v>71</v>
      </c>
      <c r="J1" s="299"/>
      <c r="K1" s="298" t="s">
        <v>72</v>
      </c>
      <c r="L1" s="299"/>
      <c r="M1" s="298" t="s">
        <v>73</v>
      </c>
      <c r="N1" s="107"/>
      <c r="Q1" s="345" t="s">
        <v>403</v>
      </c>
    </row>
    <row r="2" spans="1:17">
      <c r="A2" s="352"/>
      <c r="B2" s="352"/>
      <c r="C2" s="412" t="s">
        <v>273</v>
      </c>
      <c r="D2" s="412"/>
      <c r="E2" s="412"/>
      <c r="F2" s="412"/>
      <c r="G2" s="412"/>
      <c r="I2" s="98"/>
      <c r="J2" s="98"/>
      <c r="K2" s="98"/>
      <c r="L2" s="98"/>
      <c r="M2" s="98"/>
      <c r="Q2" s="345" t="s">
        <v>406</v>
      </c>
    </row>
    <row r="3" spans="1:17">
      <c r="A3" s="353" t="s">
        <v>274</v>
      </c>
      <c r="B3" s="352"/>
      <c r="C3" s="354" t="s">
        <v>275</v>
      </c>
      <c r="D3" s="355"/>
      <c r="E3" s="354" t="s">
        <v>276</v>
      </c>
      <c r="F3" s="355"/>
      <c r="G3" s="354" t="s">
        <v>277</v>
      </c>
      <c r="I3" s="98" t="s">
        <v>74</v>
      </c>
      <c r="J3" s="98"/>
      <c r="K3" s="116">
        <v>0.08</v>
      </c>
      <c r="L3" s="106"/>
      <c r="M3" s="116">
        <v>3.49E-2</v>
      </c>
      <c r="Q3" s="346" t="s">
        <v>402</v>
      </c>
    </row>
    <row r="4" spans="1:17">
      <c r="A4" s="98" t="s">
        <v>278</v>
      </c>
      <c r="B4" s="98"/>
      <c r="C4" s="312">
        <v>0.15</v>
      </c>
      <c r="D4" s="312"/>
      <c r="E4" s="312">
        <v>0.25</v>
      </c>
      <c r="F4" s="312"/>
      <c r="G4" s="312">
        <v>0.2</v>
      </c>
      <c r="I4" s="98" t="s">
        <v>75</v>
      </c>
      <c r="J4" s="98"/>
      <c r="K4" s="116">
        <v>0.08</v>
      </c>
      <c r="L4" s="106"/>
      <c r="M4" s="116">
        <v>3.3799999999999997E-2</v>
      </c>
      <c r="N4" s="348" t="s">
        <v>405</v>
      </c>
    </row>
    <row r="5" spans="1:17">
      <c r="A5" s="98" t="s">
        <v>279</v>
      </c>
      <c r="B5" s="98"/>
      <c r="C5" s="312">
        <v>0.32500000000000001</v>
      </c>
      <c r="D5" s="312"/>
      <c r="E5" s="312">
        <v>0.42499999999999999</v>
      </c>
      <c r="F5" s="312"/>
      <c r="G5" s="312">
        <v>0.375</v>
      </c>
      <c r="I5" s="98" t="s">
        <v>307</v>
      </c>
      <c r="J5" s="98"/>
      <c r="K5" s="116">
        <v>0.03</v>
      </c>
      <c r="L5" s="106"/>
      <c r="M5" s="116">
        <v>5.0900000000000001E-2</v>
      </c>
    </row>
    <row r="6" spans="1:17" ht="15" customHeight="1">
      <c r="A6" s="98" t="s">
        <v>281</v>
      </c>
      <c r="B6" s="98"/>
      <c r="C6" s="312">
        <v>9.5000000000000001E-2</v>
      </c>
      <c r="D6" s="312"/>
      <c r="E6" s="312">
        <v>0.155</v>
      </c>
      <c r="F6" s="312"/>
      <c r="G6" s="312">
        <v>0.125</v>
      </c>
      <c r="I6" s="98" t="s">
        <v>76</v>
      </c>
      <c r="J6" s="98"/>
      <c r="K6" s="116">
        <v>0.01</v>
      </c>
      <c r="L6" s="106"/>
      <c r="M6" s="116">
        <v>6.4500000000000002E-2</v>
      </c>
    </row>
    <row r="7" spans="1:17">
      <c r="A7" s="98" t="s">
        <v>280</v>
      </c>
      <c r="B7" s="98"/>
      <c r="C7" s="312">
        <v>0.14000000000000001</v>
      </c>
      <c r="D7" s="312"/>
      <c r="E7" s="312">
        <v>0.21</v>
      </c>
      <c r="F7" s="312"/>
      <c r="G7" s="312">
        <v>0.17499999999999999</v>
      </c>
      <c r="I7" s="98" t="s">
        <v>308</v>
      </c>
      <c r="J7" s="98"/>
      <c r="K7" s="116">
        <v>0.1575</v>
      </c>
      <c r="L7" s="106"/>
      <c r="M7" s="116">
        <v>6.3E-2</v>
      </c>
    </row>
    <row r="8" spans="1:17">
      <c r="A8" s="98" t="s">
        <v>282</v>
      </c>
      <c r="B8" s="98"/>
      <c r="C8" s="312">
        <v>0</v>
      </c>
      <c r="D8" s="312"/>
      <c r="E8" s="312">
        <v>0.125</v>
      </c>
      <c r="F8" s="312"/>
      <c r="G8" s="312">
        <v>0.125</v>
      </c>
      <c r="I8" s="98" t="s">
        <v>77</v>
      </c>
      <c r="J8" s="98"/>
      <c r="K8" s="116">
        <v>1.2999999999999999E-2</v>
      </c>
      <c r="L8" s="106"/>
      <c r="M8" s="116">
        <v>6.6900000000000001E-2</v>
      </c>
    </row>
    <row r="9" spans="1:17">
      <c r="A9" s="98" t="s">
        <v>283</v>
      </c>
      <c r="B9" s="98"/>
      <c r="C9" s="312">
        <v>0</v>
      </c>
      <c r="D9" s="312"/>
      <c r="E9" s="312">
        <v>0.03</v>
      </c>
      <c r="F9" s="312"/>
      <c r="G9" s="312">
        <v>0</v>
      </c>
      <c r="I9" s="98" t="s">
        <v>309</v>
      </c>
      <c r="J9" s="98"/>
      <c r="K9" s="116">
        <v>1.2999999999999999E-2</v>
      </c>
      <c r="L9" s="106"/>
      <c r="M9" s="116">
        <v>6.8000000000000005E-2</v>
      </c>
    </row>
    <row r="10" spans="1:17" ht="15" thickBot="1">
      <c r="A10" s="98" t="s">
        <v>62</v>
      </c>
      <c r="B10" s="98"/>
      <c r="C10" s="312"/>
      <c r="D10" s="312"/>
      <c r="E10" s="312"/>
      <c r="F10" s="312"/>
      <c r="G10" s="313">
        <f>SUM(G4:G9)</f>
        <v>1</v>
      </c>
      <c r="I10" s="98" t="s">
        <v>78</v>
      </c>
      <c r="J10" s="98"/>
      <c r="K10" s="116">
        <v>0.1313</v>
      </c>
      <c r="L10" s="106"/>
      <c r="M10" s="116">
        <v>6.7100000000000007E-2</v>
      </c>
    </row>
    <row r="11" spans="1:17" ht="15" thickTop="1">
      <c r="A11" s="98"/>
      <c r="B11" s="98"/>
      <c r="C11" s="98"/>
      <c r="D11" s="98"/>
      <c r="E11" s="98"/>
      <c r="F11" s="98"/>
      <c r="G11" s="98"/>
      <c r="I11" s="98" t="s">
        <v>79</v>
      </c>
      <c r="J11" s="98"/>
      <c r="K11" s="116">
        <v>4.1200000000000001E-2</v>
      </c>
      <c r="L11" s="106"/>
      <c r="M11" s="116">
        <v>7.4499999999999997E-2</v>
      </c>
    </row>
    <row r="12" spans="1:17">
      <c r="I12" s="98" t="s">
        <v>310</v>
      </c>
      <c r="J12" s="98"/>
      <c r="K12" s="116">
        <v>1.8800000000000001E-2</v>
      </c>
      <c r="L12" s="106"/>
      <c r="M12" s="116">
        <v>7.0099999999999996E-2</v>
      </c>
    </row>
    <row r="13" spans="1:17">
      <c r="I13" s="98" t="s">
        <v>80</v>
      </c>
      <c r="J13" s="98"/>
      <c r="K13" s="116">
        <v>0.17499999999999999</v>
      </c>
      <c r="L13" s="106"/>
      <c r="M13" s="116">
        <v>7.8200000000000006E-2</v>
      </c>
    </row>
    <row r="14" spans="1:17">
      <c r="I14" s="98" t="s">
        <v>81</v>
      </c>
      <c r="J14" s="98"/>
      <c r="K14" s="116">
        <v>0.1</v>
      </c>
      <c r="L14" s="106"/>
      <c r="M14" s="116">
        <v>5.5100000000000003E-2</v>
      </c>
    </row>
    <row r="15" spans="1:17">
      <c r="I15" s="98" t="s">
        <v>82</v>
      </c>
      <c r="J15" s="98"/>
      <c r="K15" s="116">
        <v>2.5000000000000001E-2</v>
      </c>
      <c r="L15" s="106"/>
      <c r="M15" s="116">
        <v>6.3700000000000007E-2</v>
      </c>
    </row>
    <row r="16" spans="1:17">
      <c r="I16" s="98" t="s">
        <v>311</v>
      </c>
      <c r="J16" s="98"/>
      <c r="K16" s="116">
        <v>2.5000000000000001E-2</v>
      </c>
      <c r="L16" s="106"/>
      <c r="M16" s="116">
        <v>4.0899999999999999E-2</v>
      </c>
    </row>
    <row r="17" spans="9:13">
      <c r="I17" s="98" t="s">
        <v>312</v>
      </c>
      <c r="J17" s="98"/>
      <c r="K17" s="116">
        <v>6.3E-3</v>
      </c>
      <c r="L17" s="106"/>
      <c r="M17" s="116">
        <v>5.8599999999999999E-2</v>
      </c>
    </row>
    <row r="18" spans="9:13">
      <c r="I18" s="98" t="s">
        <v>313</v>
      </c>
      <c r="J18" s="98"/>
      <c r="K18" s="116">
        <v>1.8800000000000001E-2</v>
      </c>
      <c r="L18" s="106"/>
      <c r="M18" s="116">
        <v>5.62E-2</v>
      </c>
    </row>
    <row r="19" spans="9:13">
      <c r="I19" s="98" t="s">
        <v>314</v>
      </c>
      <c r="J19" s="98"/>
      <c r="K19" s="116">
        <v>1.8800000000000001E-2</v>
      </c>
      <c r="L19" s="106"/>
      <c r="M19" s="116">
        <v>6.1499999999999999E-2</v>
      </c>
    </row>
    <row r="20" spans="9:13">
      <c r="I20" s="98" t="s">
        <v>315</v>
      </c>
      <c r="J20" s="98"/>
      <c r="K20" s="116">
        <v>3.7499999999999999E-2</v>
      </c>
      <c r="L20" s="106"/>
      <c r="M20" s="116">
        <v>6.6000000000000003E-2</v>
      </c>
    </row>
    <row r="21" spans="9:13">
      <c r="I21" s="98" t="s">
        <v>83</v>
      </c>
      <c r="J21" s="98"/>
      <c r="K21" s="116">
        <v>1.8800000000000001E-2</v>
      </c>
      <c r="L21" s="106"/>
      <c r="M21" s="116">
        <v>3.8399999999999997E-2</v>
      </c>
    </row>
    <row r="22" spans="9:13">
      <c r="I22" s="98"/>
      <c r="J22" s="98"/>
      <c r="K22" s="117"/>
      <c r="L22" s="106"/>
      <c r="M22" s="116"/>
    </row>
    <row r="23" spans="9:13" ht="15" thickBot="1">
      <c r="I23" s="118" t="s">
        <v>62</v>
      </c>
      <c r="J23" s="98"/>
      <c r="K23" s="314">
        <f>SUM(K3:K21)</f>
        <v>1</v>
      </c>
      <c r="L23" s="106"/>
      <c r="M23" s="106"/>
    </row>
    <row r="24" spans="9:13" ht="15" thickTop="1">
      <c r="I24" s="98"/>
      <c r="J24" s="98"/>
      <c r="K24" s="98"/>
      <c r="L24" s="98"/>
      <c r="M24" s="98"/>
    </row>
    <row r="25" spans="9:13">
      <c r="I25" s="98" t="s">
        <v>84</v>
      </c>
      <c r="J25" s="98"/>
      <c r="K25" s="98"/>
      <c r="L25" s="98"/>
      <c r="M25" s="116">
        <v>2.5000000000000001E-2</v>
      </c>
    </row>
    <row r="26" spans="9:13">
      <c r="I26" s="98"/>
      <c r="J26" s="98"/>
      <c r="K26" s="98"/>
      <c r="L26" s="98"/>
      <c r="M26" s="98"/>
    </row>
  </sheetData>
  <mergeCells count="1">
    <mergeCell ref="C2:G2"/>
  </mergeCells>
  <hyperlinks>
    <hyperlink ref="Q3" r:id="rId1" xr:uid="{7A32E753-A079-4485-B0FB-7325EF9B6E4A}"/>
  </hyperlinks>
  <pageMargins left="0.7" right="0.7" top="0.75" bottom="0.75" header="0.3" footer="0.3"/>
  <pageSetup orientation="portrait" horizontalDpi="300" verticalDpi="300"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sheetPr>
  <dimension ref="A1:H13"/>
  <sheetViews>
    <sheetView workbookViewId="0"/>
  </sheetViews>
  <sheetFormatPr defaultColWidth="9.109375" defaultRowHeight="14.4"/>
  <cols>
    <col min="1" max="1" width="44.33203125" customWidth="1"/>
    <col min="2" max="2" width="1.44140625" customWidth="1"/>
    <col min="3" max="3" width="19" bestFit="1" customWidth="1"/>
    <col min="4" max="4" width="1.44140625" customWidth="1"/>
    <col min="5" max="5" width="18.88671875" customWidth="1"/>
    <col min="6" max="6" width="1.44140625" customWidth="1"/>
    <col min="7" max="7" width="17.109375" customWidth="1"/>
  </cols>
  <sheetData>
    <row r="1" spans="1:8" ht="28.2">
      <c r="A1" s="171"/>
      <c r="B1" s="171"/>
      <c r="C1" s="172" t="s">
        <v>168</v>
      </c>
      <c r="D1" s="173"/>
      <c r="E1" s="172" t="s">
        <v>169</v>
      </c>
      <c r="F1" s="173"/>
      <c r="G1" s="174" t="s">
        <v>62</v>
      </c>
      <c r="H1" s="99"/>
    </row>
    <row r="2" spans="1:8">
      <c r="A2" s="413" t="s">
        <v>172</v>
      </c>
      <c r="B2" s="171"/>
      <c r="C2" s="171"/>
      <c r="D2" s="171"/>
      <c r="E2" s="171"/>
      <c r="F2" s="171"/>
      <c r="G2" s="171"/>
      <c r="H2" s="99"/>
    </row>
    <row r="3" spans="1:8">
      <c r="A3" s="413"/>
      <c r="B3" s="171"/>
      <c r="C3" s="175" t="e">
        <f>-#REF!</f>
        <v>#REF!</v>
      </c>
      <c r="D3" s="176"/>
      <c r="E3" s="175" t="e">
        <f>-#REF!</f>
        <v>#REF!</v>
      </c>
      <c r="F3" s="176"/>
      <c r="G3" s="175" t="e">
        <f>SUM(C3:E3)</f>
        <v>#REF!</v>
      </c>
      <c r="H3" s="99"/>
    </row>
    <row r="4" spans="1:8">
      <c r="A4" s="171" t="s">
        <v>170</v>
      </c>
      <c r="B4" s="171"/>
      <c r="C4" s="177" t="e">
        <f>#REF!</f>
        <v>#REF!</v>
      </c>
      <c r="D4" s="177"/>
      <c r="E4" s="177" t="e">
        <f>#REF!</f>
        <v>#REF!</v>
      </c>
      <c r="F4" s="177"/>
      <c r="G4" s="177" t="e">
        <f>SUM(C4:E4)</f>
        <v>#REF!</v>
      </c>
      <c r="H4" s="99"/>
    </row>
    <row r="5" spans="1:8">
      <c r="A5" s="413" t="s">
        <v>171</v>
      </c>
      <c r="B5" s="171"/>
      <c r="C5" s="178"/>
      <c r="D5" s="176"/>
      <c r="E5" s="178"/>
      <c r="F5" s="176"/>
      <c r="G5" s="178"/>
      <c r="H5" s="99"/>
    </row>
    <row r="6" spans="1:8" ht="15" thickBot="1">
      <c r="A6" s="413"/>
      <c r="B6" s="171"/>
      <c r="C6" s="179" t="e">
        <f>SUM(C3:C5)</f>
        <v>#REF!</v>
      </c>
      <c r="D6" s="176"/>
      <c r="E6" s="179" t="e">
        <f>SUM(E3:E5)</f>
        <v>#REF!</v>
      </c>
      <c r="F6" s="176"/>
      <c r="G6" s="179" t="e">
        <f>SUM(G3:G5)</f>
        <v>#REF!</v>
      </c>
      <c r="H6" s="99"/>
    </row>
    <row r="7" spans="1:8" ht="15" thickTop="1">
      <c r="A7" s="171"/>
      <c r="B7" s="171"/>
      <c r="C7" s="171"/>
      <c r="D7" s="171"/>
      <c r="E7" s="171"/>
      <c r="F7" s="171"/>
      <c r="G7" s="171"/>
      <c r="H7" s="99"/>
    </row>
    <row r="8" spans="1:8">
      <c r="A8" s="171"/>
      <c r="B8" s="171"/>
      <c r="C8" s="171"/>
      <c r="D8" s="171"/>
      <c r="E8" s="171"/>
      <c r="F8" s="171"/>
      <c r="G8" s="171"/>
      <c r="H8" s="99"/>
    </row>
    <row r="9" spans="1:8">
      <c r="A9" s="71"/>
      <c r="B9" s="71"/>
      <c r="C9" s="71"/>
      <c r="D9" s="71"/>
      <c r="E9" s="71"/>
      <c r="F9" s="71"/>
      <c r="G9" s="71"/>
    </row>
    <row r="10" spans="1:8">
      <c r="A10" s="71"/>
      <c r="B10" s="71"/>
      <c r="C10" s="71"/>
      <c r="D10" s="71"/>
      <c r="E10" s="71"/>
      <c r="F10" s="71"/>
      <c r="G10" s="71"/>
    </row>
    <row r="11" spans="1:8">
      <c r="A11" s="71"/>
      <c r="B11" s="71"/>
      <c r="C11" s="71"/>
      <c r="D11" s="71"/>
      <c r="E11" s="71"/>
      <c r="F11" s="71"/>
      <c r="G11" s="71"/>
    </row>
    <row r="12" spans="1:8">
      <c r="A12" s="71"/>
      <c r="B12" s="71"/>
      <c r="C12" s="86" t="e">
        <f>C6+#REF!</f>
        <v>#REF!</v>
      </c>
      <c r="D12" s="86"/>
      <c r="E12" s="86" t="e">
        <f>#REF!+E6</f>
        <v>#REF!</v>
      </c>
      <c r="F12" s="86"/>
      <c r="G12" s="86" t="e">
        <f>G6+#REF!</f>
        <v>#REF!</v>
      </c>
    </row>
    <row r="13" spans="1:8">
      <c r="A13" s="71"/>
      <c r="B13" s="71"/>
      <c r="C13" s="71"/>
      <c r="D13" s="71"/>
      <c r="E13" s="71"/>
      <c r="F13" s="71"/>
      <c r="G13" s="71"/>
    </row>
  </sheetData>
  <mergeCells count="2">
    <mergeCell ref="A2:A3"/>
    <mergeCell ref="A5:A6"/>
  </mergeCells>
  <pageMargins left="0.7" right="0.7" top="0.75" bottom="0.75" header="0.3" footer="0.3"/>
  <pageSetup scale="8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4"/>
  <sheetViews>
    <sheetView workbookViewId="0">
      <selection activeCell="M26" sqref="M26"/>
    </sheetView>
  </sheetViews>
  <sheetFormatPr defaultColWidth="9.109375" defaultRowHeight="15.6"/>
  <cols>
    <col min="1" max="1" width="19.44140625" style="316" customWidth="1"/>
    <col min="2" max="2" width="11.109375" style="316" customWidth="1"/>
    <col min="3" max="3" width="2.44140625" style="316" customWidth="1"/>
    <col min="4" max="4" width="22.33203125" style="316" bestFit="1" customWidth="1"/>
    <col min="5" max="5" width="3.5546875" style="316" customWidth="1"/>
    <col min="6" max="6" width="22.6640625" style="316" bestFit="1" customWidth="1"/>
    <col min="7" max="7" width="3.5546875" style="316" customWidth="1"/>
    <col min="8" max="8" width="21.33203125" style="316" bestFit="1" customWidth="1"/>
    <col min="9" max="10" width="9.109375" style="316" customWidth="1"/>
    <col min="11" max="16384" width="9.109375" style="317"/>
  </cols>
  <sheetData>
    <row r="1" spans="1:9">
      <c r="A1" s="315"/>
      <c r="B1" s="315"/>
      <c r="C1" s="315"/>
      <c r="D1" s="356" t="s">
        <v>414</v>
      </c>
      <c r="E1" s="357"/>
      <c r="F1" s="356" t="s">
        <v>415</v>
      </c>
      <c r="G1" s="357"/>
      <c r="H1" s="356" t="s">
        <v>416</v>
      </c>
      <c r="I1" s="315"/>
    </row>
    <row r="2" spans="1:9">
      <c r="A2" s="414" t="s">
        <v>373</v>
      </c>
      <c r="B2" s="415"/>
      <c r="C2" s="315"/>
      <c r="D2" s="315"/>
      <c r="E2" s="315"/>
      <c r="F2" s="315"/>
      <c r="G2" s="315"/>
      <c r="H2" s="315"/>
      <c r="I2" s="315"/>
    </row>
    <row r="3" spans="1:9">
      <c r="A3" s="415"/>
      <c r="B3" s="415"/>
      <c r="C3" s="315"/>
      <c r="D3" s="318">
        <f>'State Schedule'!D14</f>
        <v>2359884</v>
      </c>
      <c r="E3" s="315"/>
      <c r="F3" s="318">
        <f>'State Schedule'!D13</f>
        <v>1473628</v>
      </c>
      <c r="G3" s="315"/>
      <c r="H3" s="318">
        <f>'State Schedule'!D15</f>
        <v>731953</v>
      </c>
      <c r="I3" s="315"/>
    </row>
    <row r="4" spans="1:9" ht="10.199999999999999" customHeight="1">
      <c r="A4" s="315"/>
      <c r="B4" s="315"/>
      <c r="C4" s="315"/>
      <c r="D4" s="315"/>
      <c r="E4" s="315"/>
      <c r="F4" s="315"/>
      <c r="G4" s="315"/>
      <c r="H4" s="315"/>
      <c r="I4" s="315"/>
    </row>
  </sheetData>
  <mergeCells count="1">
    <mergeCell ref="A2:B3"/>
  </mergeCells>
  <pageMargins left="0.7" right="0.7" top="0.75" bottom="0.75" header="0.3" footer="0.3"/>
  <pageSetup scale="89"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M38"/>
  <sheetViews>
    <sheetView workbookViewId="0">
      <selection activeCell="G16" sqref="G16"/>
    </sheetView>
  </sheetViews>
  <sheetFormatPr defaultRowHeight="13.2"/>
  <cols>
    <col min="1" max="1" width="10.6640625" style="22" customWidth="1"/>
    <col min="2" max="2" width="3" style="22" customWidth="1"/>
    <col min="3" max="3" width="13.33203125" style="22" customWidth="1"/>
    <col min="4" max="4" width="3" style="22" customWidth="1"/>
    <col min="5" max="5" width="16.33203125" style="22" customWidth="1"/>
    <col min="6" max="6" width="3" style="22" customWidth="1"/>
    <col min="7" max="7" width="12.44140625" style="22" customWidth="1"/>
    <col min="8" max="8" width="3" style="22" customWidth="1"/>
    <col min="9" max="9" width="16.5546875" style="22" customWidth="1"/>
    <col min="10" max="10" width="3" style="22" customWidth="1"/>
    <col min="11" max="11" width="13.6640625" style="22" customWidth="1"/>
    <col min="12"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3" ht="12.75" customHeight="1">
      <c r="A1" s="234" t="s">
        <v>270</v>
      </c>
      <c r="B1" s="234"/>
      <c r="C1" s="234"/>
      <c r="D1" s="234"/>
      <c r="E1" s="234"/>
      <c r="F1" s="234"/>
      <c r="G1" s="234"/>
      <c r="H1" s="234"/>
      <c r="I1" s="234"/>
      <c r="J1" s="234"/>
      <c r="K1" s="234"/>
    </row>
    <row r="2" spans="1:13" ht="16.5" customHeight="1">
      <c r="A2" s="43" t="s">
        <v>85</v>
      </c>
      <c r="B2" s="43"/>
      <c r="C2" s="43"/>
      <c r="D2" s="43"/>
      <c r="E2" s="43"/>
      <c r="F2" s="43"/>
      <c r="G2" s="43"/>
      <c r="H2" s="43"/>
      <c r="I2" s="43"/>
      <c r="J2" s="43"/>
      <c r="K2" s="43"/>
    </row>
    <row r="3" spans="1:13" ht="16.5" customHeight="1">
      <c r="A3" s="275" t="s">
        <v>407</v>
      </c>
      <c r="B3" s="68"/>
      <c r="C3" s="68"/>
      <c r="D3" s="68"/>
      <c r="E3" s="68"/>
      <c r="F3" s="68"/>
      <c r="G3" s="68"/>
      <c r="H3" s="68"/>
      <c r="I3" s="68"/>
      <c r="J3" s="68"/>
      <c r="K3" s="68"/>
    </row>
    <row r="4" spans="1:13">
      <c r="A4" s="35"/>
      <c r="B4" s="35"/>
      <c r="C4" s="35"/>
      <c r="D4" s="35"/>
      <c r="E4" s="35"/>
      <c r="F4" s="35"/>
      <c r="G4" s="35"/>
      <c r="H4" s="35"/>
      <c r="I4" s="35"/>
      <c r="J4" s="35"/>
      <c r="K4" s="35"/>
    </row>
    <row r="5" spans="1:13">
      <c r="A5" s="35"/>
      <c r="B5" s="35"/>
      <c r="C5" s="35"/>
      <c r="D5" s="35"/>
      <c r="E5" s="35"/>
      <c r="F5" s="35"/>
      <c r="G5" s="35"/>
      <c r="H5" s="35"/>
      <c r="I5" s="35"/>
      <c r="J5" s="35"/>
      <c r="K5" s="35"/>
    </row>
    <row r="6" spans="1:13">
      <c r="A6" s="35"/>
      <c r="B6" s="35"/>
      <c r="C6" s="35"/>
      <c r="D6" s="35"/>
      <c r="E6" s="35"/>
      <c r="F6" s="35"/>
      <c r="G6" s="35"/>
      <c r="H6" s="35"/>
      <c r="I6" s="23" t="s">
        <v>88</v>
      </c>
      <c r="J6" s="35"/>
      <c r="K6" s="35"/>
    </row>
    <row r="7" spans="1:13">
      <c r="A7" s="35"/>
      <c r="B7" s="35"/>
      <c r="C7" s="35"/>
      <c r="D7" s="35"/>
      <c r="E7" s="35"/>
      <c r="F7" s="35"/>
      <c r="G7" s="35"/>
      <c r="H7" s="35"/>
      <c r="I7" s="23" t="str">
        <f>C9</f>
        <v>City's</v>
      </c>
      <c r="J7" s="35"/>
      <c r="K7" s="35"/>
    </row>
    <row r="8" spans="1:13">
      <c r="A8" s="35"/>
      <c r="B8" s="35"/>
      <c r="C8" s="23" t="s">
        <v>86</v>
      </c>
      <c r="D8" s="35"/>
      <c r="E8" s="25" t="s">
        <v>87</v>
      </c>
      <c r="F8" s="35"/>
      <c r="G8" s="35"/>
      <c r="H8" s="35"/>
      <c r="I8" s="418" t="s">
        <v>159</v>
      </c>
      <c r="J8" s="35"/>
      <c r="K8" s="25" t="s">
        <v>89</v>
      </c>
    </row>
    <row r="9" spans="1:13">
      <c r="A9" s="23"/>
      <c r="B9" s="23"/>
      <c r="C9" s="70" t="s">
        <v>157</v>
      </c>
      <c r="D9" s="23"/>
      <c r="E9" s="23" t="str">
        <f>C9</f>
        <v>City's</v>
      </c>
      <c r="F9" s="23"/>
      <c r="G9" s="25" t="s">
        <v>90</v>
      </c>
      <c r="H9" s="25"/>
      <c r="I9" s="418"/>
      <c r="J9" s="23"/>
      <c r="K9" s="23" t="s">
        <v>91</v>
      </c>
    </row>
    <row r="10" spans="1:13">
      <c r="A10" s="30" t="s">
        <v>287</v>
      </c>
      <c r="B10" s="24"/>
      <c r="C10" s="23" t="s">
        <v>93</v>
      </c>
      <c r="D10" s="23"/>
      <c r="E10" s="23" t="s">
        <v>94</v>
      </c>
      <c r="F10" s="23"/>
      <c r="G10" s="23" t="str">
        <f>C9</f>
        <v>City's</v>
      </c>
      <c r="H10" s="25"/>
      <c r="I10" s="418"/>
      <c r="J10" s="23"/>
      <c r="K10" s="23" t="s">
        <v>95</v>
      </c>
    </row>
    <row r="11" spans="1:13">
      <c r="A11" s="25" t="s">
        <v>288</v>
      </c>
      <c r="C11" s="23" t="s">
        <v>97</v>
      </c>
      <c r="D11" s="23"/>
      <c r="E11" s="23" t="s">
        <v>98</v>
      </c>
      <c r="F11" s="23"/>
      <c r="G11" s="23" t="s">
        <v>99</v>
      </c>
      <c r="H11" s="23"/>
      <c r="I11" s="418"/>
      <c r="J11" s="23"/>
      <c r="K11" s="23" t="s">
        <v>101</v>
      </c>
    </row>
    <row r="12" spans="1:13">
      <c r="A12" s="33" t="s">
        <v>102</v>
      </c>
      <c r="C12" s="26" t="s">
        <v>158</v>
      </c>
      <c r="D12" s="23"/>
      <c r="E12" s="26" t="s">
        <v>158</v>
      </c>
      <c r="F12" s="23"/>
      <c r="G12" s="26" t="s">
        <v>103</v>
      </c>
      <c r="H12" s="23"/>
      <c r="I12" s="419"/>
      <c r="J12" s="23"/>
      <c r="K12" s="26" t="s">
        <v>104</v>
      </c>
    </row>
    <row r="13" spans="1:13">
      <c r="A13" s="25"/>
      <c r="C13" s="23"/>
      <c r="D13" s="23"/>
      <c r="E13" s="25"/>
      <c r="F13" s="23"/>
      <c r="G13" s="23"/>
      <c r="H13" s="23"/>
      <c r="I13" s="23"/>
      <c r="J13" s="23"/>
      <c r="K13" s="23"/>
      <c r="M13" s="22" t="s">
        <v>410</v>
      </c>
    </row>
    <row r="14" spans="1:13">
      <c r="A14" s="300">
        <v>2019</v>
      </c>
      <c r="C14" s="44">
        <f>'State Schedule'!D10</f>
        <v>8.5192599999999995E-5</v>
      </c>
      <c r="D14" s="23"/>
      <c r="E14" s="42">
        <f>'State Schedule'!D13</f>
        <v>1473628</v>
      </c>
      <c r="F14" s="23"/>
      <c r="G14" s="279">
        <f>'RSI Schedule of Cont'!I13</f>
        <v>785586</v>
      </c>
      <c r="H14" s="23"/>
      <c r="I14" s="45">
        <f t="shared" ref="I14:I19" si="0">E14/G14</f>
        <v>1.8758328177946144</v>
      </c>
      <c r="J14" s="23"/>
      <c r="K14" s="349">
        <v>0.80200000000000005</v>
      </c>
      <c r="M14" s="351" t="s">
        <v>402</v>
      </c>
    </row>
    <row r="15" spans="1:13">
      <c r="A15" s="27">
        <f>A14-1</f>
        <v>2018</v>
      </c>
      <c r="B15" s="25"/>
      <c r="C15" s="44">
        <f>'State Schedule'!D9</f>
        <v>6.4690599999999994E-5</v>
      </c>
      <c r="D15" s="23"/>
      <c r="E15" s="164">
        <f>'State Schedule'!D12</f>
        <v>979977</v>
      </c>
      <c r="F15" s="46"/>
      <c r="G15" s="319">
        <f>'RSI Schedule of Cont'!I14</f>
        <v>709681</v>
      </c>
      <c r="H15" s="23"/>
      <c r="I15" s="45">
        <f t="shared" si="0"/>
        <v>1.3808697147028031</v>
      </c>
      <c r="J15" s="23"/>
      <c r="K15" s="349">
        <v>0.82099999999999995</v>
      </c>
    </row>
    <row r="16" spans="1:13">
      <c r="A16" s="27">
        <f t="shared" ref="A16:A20" si="1">A15-1</f>
        <v>2017</v>
      </c>
      <c r="B16" s="25"/>
      <c r="C16" s="244">
        <v>8.8112699999999994E-5</v>
      </c>
      <c r="E16" s="236">
        <v>1187763</v>
      </c>
      <c r="G16" s="319">
        <f>'RSI Schedule of Cont'!I15</f>
        <v>739513</v>
      </c>
      <c r="I16" s="45">
        <f t="shared" si="0"/>
        <v>1.6061421503070263</v>
      </c>
      <c r="K16" s="349">
        <v>0.83099999999999996</v>
      </c>
    </row>
    <row r="17" spans="1:13">
      <c r="A17" s="27">
        <f t="shared" si="1"/>
        <v>2016</v>
      </c>
      <c r="B17" s="25"/>
      <c r="C17" s="244">
        <v>8.7499399999999998E-5</v>
      </c>
      <c r="E17" s="236">
        <v>1313569</v>
      </c>
      <c r="F17" s="46"/>
      <c r="G17" s="319">
        <f>'RSI Schedule of Cont'!I16</f>
        <v>654057</v>
      </c>
      <c r="H17" s="23"/>
      <c r="I17" s="45">
        <f t="shared" si="0"/>
        <v>2.0083402516906017</v>
      </c>
      <c r="J17" s="23"/>
      <c r="K17" s="349">
        <v>0.80530000000000002</v>
      </c>
    </row>
    <row r="18" spans="1:13">
      <c r="A18" s="27">
        <f t="shared" si="1"/>
        <v>2015</v>
      </c>
      <c r="B18" s="25"/>
      <c r="C18" s="244">
        <v>8.4709600000000006E-5</v>
      </c>
      <c r="D18" s="70"/>
      <c r="E18" s="236">
        <v>486357</v>
      </c>
      <c r="F18" s="46"/>
      <c r="G18" s="319">
        <f>'RSI Schedule of Cont'!I17</f>
        <v>550106</v>
      </c>
      <c r="H18" s="222"/>
      <c r="I18" s="45">
        <f t="shared" si="0"/>
        <v>0.88411506146088203</v>
      </c>
      <c r="J18" s="23"/>
      <c r="K18" s="349">
        <v>0.91900000000000004</v>
      </c>
    </row>
    <row r="19" spans="1:13">
      <c r="A19" s="27">
        <f t="shared" si="1"/>
        <v>2014</v>
      </c>
      <c r="C19" s="244">
        <v>1.017141E-4</v>
      </c>
      <c r="D19" s="70"/>
      <c r="E19" s="236">
        <v>-230556</v>
      </c>
      <c r="F19" s="164"/>
      <c r="G19" s="319">
        <f>'RSI Schedule of Cont'!I18</f>
        <v>654057</v>
      </c>
      <c r="H19" s="222"/>
      <c r="I19" s="45">
        <f t="shared" si="0"/>
        <v>-0.35250138749375054</v>
      </c>
      <c r="J19" s="23"/>
      <c r="K19" s="349">
        <v>1.036</v>
      </c>
    </row>
    <row r="20" spans="1:13">
      <c r="A20" s="27">
        <f t="shared" si="1"/>
        <v>2013</v>
      </c>
      <c r="C20" s="244">
        <v>8.4709600000000006E-5</v>
      </c>
      <c r="D20" s="245"/>
      <c r="E20" s="236">
        <v>519062</v>
      </c>
      <c r="F20" s="164"/>
      <c r="G20" s="235">
        <v>550106</v>
      </c>
      <c r="H20" s="222"/>
      <c r="I20" s="45">
        <f t="shared" ref="I20" si="2">E20/G20</f>
        <v>0.94356723976833556</v>
      </c>
      <c r="J20" s="23"/>
      <c r="K20" s="350">
        <f>58478.9/63582.1</f>
        <v>0.91973841694439162</v>
      </c>
    </row>
    <row r="21" spans="1:13">
      <c r="A21" s="27"/>
      <c r="H21" s="23"/>
      <c r="J21" s="23"/>
    </row>
    <row r="22" spans="1:13">
      <c r="H22" s="23"/>
      <c r="J22" s="23"/>
    </row>
    <row r="23" spans="1:13">
      <c r="A23" s="27"/>
      <c r="B23" s="36"/>
      <c r="C23" s="36"/>
      <c r="D23" s="29"/>
      <c r="E23" s="28"/>
      <c r="F23" s="29"/>
      <c r="G23" s="30"/>
      <c r="H23" s="30"/>
      <c r="I23" s="31"/>
      <c r="J23" s="29"/>
      <c r="K23" s="32"/>
    </row>
    <row r="24" spans="1:13" ht="28.2" customHeight="1">
      <c r="A24" s="417" t="s">
        <v>127</v>
      </c>
      <c r="B24" s="417"/>
      <c r="C24" s="417"/>
      <c r="D24" s="417"/>
      <c r="E24" s="417"/>
      <c r="F24" s="417"/>
      <c r="G24" s="417"/>
      <c r="H24" s="417"/>
      <c r="I24" s="417"/>
      <c r="J24" s="417"/>
      <c r="K24" s="417"/>
    </row>
    <row r="25" spans="1:13" ht="7.95" customHeight="1">
      <c r="H25" s="30"/>
      <c r="I25" s="31"/>
      <c r="J25" s="29"/>
      <c r="K25" s="32"/>
    </row>
    <row r="26" spans="1:13" ht="41.25" customHeight="1">
      <c r="A26" s="417" t="s">
        <v>322</v>
      </c>
      <c r="B26" s="417"/>
      <c r="C26" s="417"/>
      <c r="D26" s="417"/>
      <c r="E26" s="417"/>
      <c r="F26" s="417"/>
      <c r="G26" s="417"/>
      <c r="H26" s="417"/>
      <c r="I26" s="417"/>
      <c r="J26" s="417"/>
      <c r="K26" s="417"/>
    </row>
    <row r="27" spans="1:13">
      <c r="A27" s="36"/>
      <c r="B27" s="36"/>
      <c r="C27" s="36"/>
      <c r="D27" s="36"/>
      <c r="E27" s="25"/>
      <c r="F27" s="36"/>
      <c r="G27" s="36"/>
      <c r="H27" s="36"/>
      <c r="I27" s="36"/>
      <c r="J27" s="36"/>
      <c r="K27" s="23"/>
    </row>
    <row r="28" spans="1:13">
      <c r="A28" s="274" t="s">
        <v>323</v>
      </c>
    </row>
    <row r="30" spans="1:13">
      <c r="A30" s="420" t="s">
        <v>324</v>
      </c>
      <c r="B30" s="420"/>
      <c r="C30" s="420"/>
      <c r="D30" s="420"/>
      <c r="E30" s="420"/>
      <c r="F30" s="420"/>
      <c r="G30" s="420"/>
      <c r="H30" s="420"/>
      <c r="I30" s="420"/>
      <c r="J30" s="420"/>
      <c r="K30" s="420"/>
    </row>
    <row r="31" spans="1:13">
      <c r="A31" s="277"/>
      <c r="B31" s="277"/>
      <c r="C31" s="277"/>
      <c r="D31" s="277"/>
      <c r="E31" s="277"/>
      <c r="F31" s="277"/>
      <c r="G31" s="277"/>
      <c r="H31" s="277"/>
      <c r="I31" s="277"/>
      <c r="J31" s="277"/>
      <c r="K31" s="277"/>
    </row>
    <row r="32" spans="1:13" ht="87" customHeight="1">
      <c r="A32" s="416" t="s">
        <v>325</v>
      </c>
      <c r="B32" s="416"/>
      <c r="C32" s="416"/>
      <c r="D32" s="416"/>
      <c r="E32" s="416"/>
      <c r="F32" s="416"/>
      <c r="G32" s="416"/>
      <c r="H32" s="416"/>
      <c r="I32" s="416"/>
      <c r="J32" s="416"/>
      <c r="K32" s="416"/>
      <c r="M32" s="346" t="s">
        <v>402</v>
      </c>
    </row>
    <row r="33" spans="1:13">
      <c r="A33" s="360"/>
      <c r="B33" s="360"/>
      <c r="C33" s="360"/>
      <c r="D33" s="360"/>
      <c r="E33" s="360"/>
      <c r="F33" s="360"/>
      <c r="G33" s="360"/>
      <c r="H33" s="360"/>
      <c r="I33" s="360"/>
      <c r="J33" s="360"/>
      <c r="K33" s="360"/>
      <c r="M33" s="22" t="s">
        <v>411</v>
      </c>
    </row>
    <row r="34" spans="1:13" s="361" customFormat="1" ht="82.2" customHeight="1">
      <c r="A34" s="416" t="s">
        <v>419</v>
      </c>
      <c r="B34" s="416"/>
      <c r="C34" s="416"/>
      <c r="D34" s="416"/>
      <c r="E34" s="416"/>
      <c r="F34" s="416"/>
      <c r="G34" s="416"/>
      <c r="H34" s="416"/>
      <c r="I34" s="416"/>
      <c r="J34" s="416"/>
      <c r="K34" s="416"/>
      <c r="M34" s="266" t="s">
        <v>420</v>
      </c>
    </row>
    <row r="35" spans="1:13" ht="13.95" customHeight="1">
      <c r="M35" s="22" t="s">
        <v>421</v>
      </c>
    </row>
    <row r="36" spans="1:13">
      <c r="A36" s="22" t="s">
        <v>326</v>
      </c>
    </row>
    <row r="38" spans="1:13" ht="73.95" customHeight="1">
      <c r="A38" s="416" t="s">
        <v>370</v>
      </c>
      <c r="B38" s="416"/>
      <c r="C38" s="416"/>
      <c r="D38" s="416"/>
      <c r="E38" s="416"/>
      <c r="F38" s="416"/>
      <c r="G38" s="416"/>
      <c r="H38" s="416"/>
      <c r="I38" s="416"/>
      <c r="J38" s="416"/>
      <c r="K38" s="416"/>
    </row>
  </sheetData>
  <mergeCells count="7">
    <mergeCell ref="A38:K38"/>
    <mergeCell ref="A24:K24"/>
    <mergeCell ref="A26:K26"/>
    <mergeCell ref="I8:I12"/>
    <mergeCell ref="A30:K30"/>
    <mergeCell ref="A32:K32"/>
    <mergeCell ref="A34:K34"/>
  </mergeCells>
  <hyperlinks>
    <hyperlink ref="M14" r:id="rId1" xr:uid="{84A7EB31-3363-40DB-B4B3-DD847BCB4FF2}"/>
    <hyperlink ref="M32" r:id="rId2" xr:uid="{F98059C0-ED5F-4113-86E8-6BA7C79AFF63}"/>
    <hyperlink ref="M34" r:id="rId3" xr:uid="{6FC84FAF-3BBD-4497-8A78-F363B6D921A5}"/>
  </hyperlinks>
  <pageMargins left="0.7" right="0.7" top="0.75" bottom="0.75" header="0.3" footer="0.3"/>
  <pageSetup scale="92" orientation="portrait" horizontalDpi="300" verticalDpi="300"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AB42"/>
  <sheetViews>
    <sheetView view="pageBreakPreview" zoomScaleNormal="100" zoomScaleSheetLayoutView="100" workbookViewId="0">
      <selection activeCell="Q24" sqref="Q24"/>
    </sheetView>
  </sheetViews>
  <sheetFormatPr defaultRowHeight="13.2"/>
  <cols>
    <col min="1" max="1" width="13.6640625" style="22" customWidth="1"/>
    <col min="2" max="2" width="3.6640625" style="22" customWidth="1"/>
    <col min="3" max="3" width="13.6640625" style="22" customWidth="1"/>
    <col min="4" max="4" width="3.6640625" style="22" customWidth="1"/>
    <col min="5" max="5" width="13.6640625" style="22" customWidth="1"/>
    <col min="6" max="6" width="3.6640625" style="22" customWidth="1"/>
    <col min="7" max="7" width="13.6640625" style="22" customWidth="1"/>
    <col min="8" max="8" width="3.6640625" style="22" customWidth="1"/>
    <col min="9" max="9" width="13.6640625" style="22" customWidth="1"/>
    <col min="10" max="10" width="3.6640625" style="22" customWidth="1"/>
    <col min="11" max="11" width="13.6640625" style="22" customWidth="1"/>
    <col min="12" max="12" width="9.109375" style="22"/>
    <col min="13" max="13" width="2.5546875" style="22" customWidth="1"/>
    <col min="14" max="16" width="9.109375" style="22"/>
    <col min="17" max="17" width="16.6640625" style="22" customWidth="1"/>
    <col min="18" max="18" width="10" style="22" customWidth="1"/>
    <col min="19" max="19" width="3.5546875" style="22" customWidth="1"/>
    <col min="20" max="20" width="10" style="22" customWidth="1"/>
    <col min="21" max="21" width="2.109375" style="22" customWidth="1"/>
    <col min="22" max="22" width="10" style="22" customWidth="1"/>
    <col min="23" max="23" width="3.5546875" style="22" customWidth="1"/>
    <col min="24" max="24" width="10" style="22" customWidth="1"/>
    <col min="25" max="25" width="2.109375" style="22" customWidth="1"/>
    <col min="26" max="26" width="10" style="22" customWidth="1"/>
    <col min="27" max="27" width="3.5546875" style="22" customWidth="1"/>
    <col min="28" max="28" width="10" style="22" customWidth="1"/>
    <col min="29"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5" ht="12.75" customHeight="1">
      <c r="A1" s="233" t="str">
        <f>'RSI Schedule of Prop Share'!A1</f>
        <v>CITY OF ***, OREGON</v>
      </c>
      <c r="B1" s="234"/>
      <c r="C1" s="234"/>
      <c r="D1" s="234"/>
      <c r="E1" s="234"/>
      <c r="F1" s="234"/>
      <c r="G1" s="234"/>
      <c r="H1" s="234"/>
      <c r="I1" s="234"/>
      <c r="J1" s="234"/>
      <c r="K1" s="234"/>
    </row>
    <row r="2" spans="1:15" ht="16.5" customHeight="1">
      <c r="A2" s="43" t="s">
        <v>408</v>
      </c>
      <c r="B2" s="43"/>
      <c r="C2" s="43"/>
      <c r="D2" s="43"/>
      <c r="E2" s="43"/>
      <c r="F2" s="43"/>
      <c r="G2" s="43"/>
      <c r="H2" s="43"/>
      <c r="I2" s="43"/>
      <c r="J2" s="43"/>
      <c r="K2" s="43"/>
    </row>
    <row r="3" spans="1:15" ht="16.5" customHeight="1">
      <c r="A3" s="275" t="s">
        <v>409</v>
      </c>
      <c r="B3" s="68"/>
      <c r="C3" s="68"/>
      <c r="D3" s="68"/>
      <c r="E3" s="68"/>
      <c r="F3" s="68"/>
      <c r="G3" s="68"/>
      <c r="H3" s="68"/>
      <c r="I3" s="68"/>
      <c r="J3" s="68"/>
      <c r="K3" s="68"/>
      <c r="M3" s="267" t="s">
        <v>365</v>
      </c>
      <c r="N3" s="267"/>
    </row>
    <row r="4" spans="1:15">
      <c r="A4" s="35"/>
      <c r="B4" s="35"/>
      <c r="C4" s="35"/>
      <c r="D4" s="35"/>
      <c r="E4" s="35"/>
      <c r="F4" s="35"/>
      <c r="G4" s="35"/>
      <c r="H4" s="35"/>
      <c r="I4" s="35"/>
      <c r="J4" s="35"/>
      <c r="K4" s="35"/>
    </row>
    <row r="5" spans="1:15">
      <c r="A5" s="35"/>
      <c r="B5" s="35"/>
      <c r="C5" s="35"/>
      <c r="D5" s="35"/>
      <c r="E5" s="35"/>
      <c r="F5" s="35"/>
      <c r="G5" s="35"/>
      <c r="H5" s="35"/>
      <c r="I5" s="35"/>
      <c r="J5" s="35"/>
      <c r="K5" s="35"/>
    </row>
    <row r="6" spans="1:15">
      <c r="A6" s="23"/>
      <c r="B6" s="23"/>
      <c r="C6" s="36"/>
      <c r="D6" s="36"/>
      <c r="E6" s="25" t="s">
        <v>87</v>
      </c>
      <c r="F6" s="36"/>
      <c r="H6" s="36"/>
      <c r="I6" s="36"/>
      <c r="J6" s="36"/>
      <c r="K6" s="23" t="s">
        <v>88</v>
      </c>
    </row>
    <row r="7" spans="1:15">
      <c r="A7" s="23"/>
      <c r="B7" s="23"/>
      <c r="C7" s="25" t="s">
        <v>86</v>
      </c>
      <c r="D7" s="23"/>
      <c r="E7" s="25" t="s">
        <v>105</v>
      </c>
      <c r="F7" s="23"/>
      <c r="G7" s="23" t="s">
        <v>160</v>
      </c>
      <c r="H7" s="23"/>
      <c r="I7" s="25" t="s">
        <v>90</v>
      </c>
      <c r="J7" s="23"/>
      <c r="K7" s="25" t="s">
        <v>106</v>
      </c>
    </row>
    <row r="8" spans="1:15">
      <c r="A8" s="30" t="s">
        <v>92</v>
      </c>
      <c r="B8" s="30"/>
      <c r="C8" s="25" t="s">
        <v>107</v>
      </c>
      <c r="D8" s="25"/>
      <c r="E8" s="25" t="s">
        <v>108</v>
      </c>
      <c r="F8" s="25"/>
      <c r="G8" s="25" t="s">
        <v>109</v>
      </c>
      <c r="H8" s="25"/>
      <c r="I8" s="23" t="str">
        <f>'RSI Schedule of Prop Share'!C9</f>
        <v>City's</v>
      </c>
      <c r="J8" s="25"/>
      <c r="K8" s="25" t="s">
        <v>110</v>
      </c>
    </row>
    <row r="9" spans="1:15">
      <c r="A9" s="25" t="s">
        <v>96</v>
      </c>
      <c r="B9" s="25"/>
      <c r="C9" s="25" t="s">
        <v>111</v>
      </c>
      <c r="D9" s="25"/>
      <c r="E9" s="25" t="s">
        <v>112</v>
      </c>
      <c r="F9" s="25"/>
      <c r="G9" s="25" t="s">
        <v>113</v>
      </c>
      <c r="H9" s="25"/>
      <c r="I9" s="23" t="s">
        <v>99</v>
      </c>
      <c r="J9" s="25"/>
      <c r="K9" s="25" t="s">
        <v>100</v>
      </c>
    </row>
    <row r="10" spans="1:15">
      <c r="A10" s="33" t="s">
        <v>102</v>
      </c>
      <c r="B10" s="25"/>
      <c r="C10" s="33" t="s">
        <v>114</v>
      </c>
      <c r="D10" s="25"/>
      <c r="E10" s="33" t="s">
        <v>114</v>
      </c>
      <c r="F10" s="25"/>
      <c r="G10" s="33" t="s">
        <v>115</v>
      </c>
      <c r="H10" s="25"/>
      <c r="I10" s="26" t="s">
        <v>103</v>
      </c>
      <c r="J10" s="25"/>
      <c r="K10" s="33" t="s">
        <v>103</v>
      </c>
    </row>
    <row r="11" spans="1:15">
      <c r="A11" s="24"/>
      <c r="B11" s="24"/>
      <c r="D11" s="24"/>
      <c r="E11" s="24"/>
      <c r="K11" s="24"/>
    </row>
    <row r="12" spans="1:15">
      <c r="A12" s="300">
        <v>2020</v>
      </c>
      <c r="B12" s="24"/>
      <c r="C12" s="180">
        <f>'State Schedule'!C32</f>
        <v>217341</v>
      </c>
      <c r="D12" s="24"/>
      <c r="E12" s="181">
        <f>C12</f>
        <v>217341</v>
      </c>
      <c r="G12" s="180">
        <f t="shared" ref="G12:G13" si="0">C12-E12</f>
        <v>0</v>
      </c>
      <c r="I12" s="268">
        <v>750000</v>
      </c>
      <c r="K12" s="41">
        <f t="shared" ref="K12:K17" si="1">E12/I12</f>
        <v>0.28978799999999999</v>
      </c>
    </row>
    <row r="13" spans="1:15">
      <c r="A13" s="27">
        <f>A12-1</f>
        <v>2019</v>
      </c>
      <c r="B13" s="24"/>
      <c r="C13" s="246">
        <v>178898</v>
      </c>
      <c r="D13" s="247"/>
      <c r="E13" s="246">
        <f t="shared" ref="E13:E18" si="2">+C13</f>
        <v>178898</v>
      </c>
      <c r="G13" s="40">
        <f t="shared" si="0"/>
        <v>0</v>
      </c>
      <c r="I13" s="235">
        <v>785586</v>
      </c>
      <c r="J13" s="223"/>
      <c r="K13" s="41">
        <f t="shared" si="1"/>
        <v>0.22772554500716663</v>
      </c>
    </row>
    <row r="14" spans="1:15">
      <c r="A14" s="27">
        <f t="shared" ref="A14:A16" si="3">A13-1</f>
        <v>2018</v>
      </c>
      <c r="B14" s="24"/>
      <c r="C14" s="246">
        <v>157872</v>
      </c>
      <c r="D14" s="247"/>
      <c r="E14" s="246">
        <f t="shared" si="2"/>
        <v>157872</v>
      </c>
      <c r="G14" s="40">
        <f t="shared" ref="G14:G18" si="4">C14-E14</f>
        <v>0</v>
      </c>
      <c r="I14" s="235">
        <v>709681</v>
      </c>
      <c r="J14" s="223"/>
      <c r="K14" s="41">
        <f t="shared" si="1"/>
        <v>0.22245487761402657</v>
      </c>
      <c r="O14" s="276"/>
    </row>
    <row r="15" spans="1:15">
      <c r="A15" s="27">
        <f t="shared" si="3"/>
        <v>2017</v>
      </c>
      <c r="B15" s="34"/>
      <c r="C15" s="246">
        <v>119040</v>
      </c>
      <c r="D15" s="247"/>
      <c r="E15" s="246">
        <f t="shared" si="2"/>
        <v>119040</v>
      </c>
      <c r="G15" s="40">
        <f t="shared" si="4"/>
        <v>0</v>
      </c>
      <c r="I15" s="235">
        <v>739513</v>
      </c>
      <c r="J15" s="223"/>
      <c r="K15" s="41">
        <f t="shared" si="1"/>
        <v>0.1609708010542073</v>
      </c>
      <c r="O15" s="235"/>
    </row>
    <row r="16" spans="1:15">
      <c r="A16" s="27">
        <f t="shared" si="3"/>
        <v>2016</v>
      </c>
      <c r="B16" s="34"/>
      <c r="C16" s="246">
        <v>142027</v>
      </c>
      <c r="D16" s="247"/>
      <c r="E16" s="246">
        <f t="shared" si="2"/>
        <v>142027</v>
      </c>
      <c r="F16" s="40"/>
      <c r="G16" s="40">
        <f t="shared" si="4"/>
        <v>0</v>
      </c>
      <c r="H16" s="40"/>
      <c r="I16" s="235">
        <v>654057</v>
      </c>
      <c r="J16" s="223"/>
      <c r="K16" s="41">
        <f t="shared" si="1"/>
        <v>0.21714774094612549</v>
      </c>
      <c r="O16" s="235"/>
    </row>
    <row r="17" spans="1:16">
      <c r="A17" s="27">
        <f t="shared" ref="A17:A18" si="5">A16-1</f>
        <v>2015</v>
      </c>
      <c r="B17" s="34"/>
      <c r="C17" s="246">
        <v>69138</v>
      </c>
      <c r="D17" s="246"/>
      <c r="E17" s="246">
        <f t="shared" si="2"/>
        <v>69138</v>
      </c>
      <c r="F17" s="40"/>
      <c r="G17" s="40">
        <f t="shared" si="4"/>
        <v>0</v>
      </c>
      <c r="H17" s="40"/>
      <c r="I17" s="235">
        <v>550106</v>
      </c>
      <c r="J17" s="223"/>
      <c r="K17" s="41">
        <f t="shared" si="1"/>
        <v>0.12568123234431183</v>
      </c>
      <c r="O17" s="235"/>
    </row>
    <row r="18" spans="1:16">
      <c r="A18" s="27">
        <f t="shared" si="5"/>
        <v>2014</v>
      </c>
      <c r="B18" s="34"/>
      <c r="C18" s="246">
        <v>112061</v>
      </c>
      <c r="D18" s="246"/>
      <c r="E18" s="246">
        <f t="shared" si="2"/>
        <v>112061</v>
      </c>
      <c r="F18" s="40"/>
      <c r="G18" s="40">
        <f t="shared" si="4"/>
        <v>0</v>
      </c>
      <c r="H18" s="40"/>
      <c r="I18" s="235">
        <v>654057</v>
      </c>
      <c r="J18" s="223"/>
      <c r="K18" s="41">
        <f t="shared" ref="K18" si="6">E18/I18</f>
        <v>0.17133216218158356</v>
      </c>
      <c r="O18" s="235"/>
    </row>
    <row r="19" spans="1:16">
      <c r="K19" s="24"/>
      <c r="O19" s="235"/>
    </row>
    <row r="22" spans="1:16" ht="25.5" customHeight="1">
      <c r="A22" s="420" t="s">
        <v>127</v>
      </c>
      <c r="B22" s="420"/>
      <c r="C22" s="420"/>
      <c r="D22" s="420"/>
      <c r="E22" s="420"/>
      <c r="F22" s="420"/>
      <c r="G22" s="420"/>
      <c r="H22" s="420"/>
      <c r="I22" s="420"/>
      <c r="J22" s="420"/>
      <c r="K22" s="420"/>
    </row>
    <row r="24" spans="1:16" ht="40.950000000000003" customHeight="1">
      <c r="A24" s="417" t="s">
        <v>322</v>
      </c>
      <c r="B24" s="417"/>
      <c r="C24" s="417"/>
      <c r="D24" s="417"/>
      <c r="E24" s="417"/>
      <c r="F24" s="417"/>
      <c r="G24" s="417"/>
      <c r="H24" s="417"/>
      <c r="I24" s="417"/>
      <c r="J24" s="417"/>
      <c r="K24" s="417"/>
    </row>
    <row r="26" spans="1:16">
      <c r="A26" s="274" t="s">
        <v>323</v>
      </c>
    </row>
    <row r="28" spans="1:16">
      <c r="A28" s="22" t="s">
        <v>327</v>
      </c>
    </row>
    <row r="29" spans="1:16">
      <c r="P29" s="22" t="s">
        <v>412</v>
      </c>
    </row>
    <row r="30" spans="1:16" ht="15" customHeight="1">
      <c r="H30" s="273"/>
      <c r="P30" s="266" t="s">
        <v>413</v>
      </c>
    </row>
    <row r="31" spans="1:16" ht="15" customHeight="1">
      <c r="H31" s="278"/>
    </row>
    <row r="32" spans="1:16" ht="15" customHeight="1">
      <c r="H32" s="278"/>
    </row>
    <row r="33" spans="8:28" ht="15" customHeight="1">
      <c r="H33" s="278"/>
      <c r="P33" s="301" t="s">
        <v>337</v>
      </c>
      <c r="Q33" s="301"/>
      <c r="R33" s="421">
        <v>42369</v>
      </c>
      <c r="S33" s="421"/>
      <c r="T33" s="421"/>
      <c r="U33" s="301"/>
      <c r="V33" s="421">
        <v>41639</v>
      </c>
      <c r="W33" s="421"/>
      <c r="X33" s="421"/>
      <c r="Y33" s="301"/>
      <c r="Z33" s="421">
        <v>40908</v>
      </c>
      <c r="AA33" s="421"/>
      <c r="AB33" s="421"/>
    </row>
    <row r="34" spans="8:28">
      <c r="H34" s="278"/>
      <c r="P34" s="301" t="s">
        <v>328</v>
      </c>
      <c r="Q34" s="301"/>
      <c r="R34" s="302"/>
      <c r="S34" s="303" t="s">
        <v>371</v>
      </c>
      <c r="T34" s="302"/>
      <c r="U34" s="301"/>
      <c r="V34" s="302"/>
      <c r="W34" s="303" t="s">
        <v>338</v>
      </c>
      <c r="X34" s="302"/>
      <c r="Y34" s="301"/>
      <c r="Z34" s="302"/>
      <c r="AA34" s="303" t="s">
        <v>345</v>
      </c>
      <c r="AB34" s="302"/>
    </row>
    <row r="35" spans="8:28">
      <c r="H35" s="278"/>
      <c r="P35" s="301" t="s">
        <v>329</v>
      </c>
      <c r="Q35" s="301"/>
      <c r="R35" s="302"/>
      <c r="S35" s="303" t="s">
        <v>66</v>
      </c>
      <c r="T35" s="302"/>
      <c r="U35" s="301"/>
      <c r="V35" s="302"/>
      <c r="W35" s="303" t="s">
        <v>66</v>
      </c>
      <c r="X35" s="302"/>
      <c r="Y35" s="301"/>
      <c r="Z35" s="302"/>
      <c r="AA35" s="303" t="s">
        <v>346</v>
      </c>
      <c r="AB35" s="302"/>
    </row>
    <row r="36" spans="8:28">
      <c r="H36" s="278"/>
      <c r="P36" s="301" t="s">
        <v>330</v>
      </c>
      <c r="Q36" s="301"/>
      <c r="R36" s="302"/>
      <c r="S36" s="303" t="s">
        <v>339</v>
      </c>
      <c r="T36" s="302"/>
      <c r="U36" s="301"/>
      <c r="V36" s="302"/>
      <c r="W36" s="303" t="s">
        <v>339</v>
      </c>
      <c r="X36" s="302"/>
      <c r="Y36" s="301"/>
      <c r="Z36" s="302"/>
      <c r="AA36" s="303" t="s">
        <v>339</v>
      </c>
      <c r="AB36" s="302"/>
    </row>
    <row r="37" spans="8:28">
      <c r="H37" s="278"/>
      <c r="P37" s="301" t="s">
        <v>331</v>
      </c>
      <c r="Q37" s="301"/>
      <c r="R37" s="302"/>
      <c r="S37" s="303" t="s">
        <v>340</v>
      </c>
      <c r="T37" s="302"/>
      <c r="U37" s="301"/>
      <c r="V37" s="302"/>
      <c r="W37" s="303" t="s">
        <v>340</v>
      </c>
      <c r="X37" s="302"/>
      <c r="Y37" s="301"/>
      <c r="Z37" s="302"/>
      <c r="AA37" s="303" t="s">
        <v>340</v>
      </c>
      <c r="AB37" s="302"/>
    </row>
    <row r="38" spans="8:28">
      <c r="H38" s="278"/>
      <c r="P38" s="301" t="s">
        <v>332</v>
      </c>
      <c r="Q38" s="301"/>
      <c r="R38" s="302"/>
      <c r="S38" s="303" t="s">
        <v>341</v>
      </c>
      <c r="T38" s="302"/>
      <c r="U38" s="301"/>
      <c r="V38" s="302"/>
      <c r="W38" s="303" t="s">
        <v>341</v>
      </c>
      <c r="X38" s="302"/>
      <c r="Y38" s="301"/>
      <c r="Z38" s="302"/>
      <c r="AA38" s="303" t="s">
        <v>347</v>
      </c>
      <c r="AB38" s="302"/>
    </row>
    <row r="39" spans="8:28">
      <c r="H39" s="278"/>
      <c r="P39" s="301" t="s">
        <v>333</v>
      </c>
      <c r="Q39" s="301"/>
      <c r="R39" s="302"/>
      <c r="S39" s="303"/>
      <c r="T39" s="302"/>
      <c r="U39" s="301"/>
      <c r="V39" s="302"/>
      <c r="W39" s="303"/>
      <c r="X39" s="302"/>
      <c r="Y39" s="301"/>
      <c r="Z39" s="302"/>
      <c r="AA39" s="303"/>
      <c r="AB39" s="302"/>
    </row>
    <row r="40" spans="8:28">
      <c r="P40" s="304" t="s">
        <v>334</v>
      </c>
      <c r="Q40" s="301"/>
      <c r="R40" s="302"/>
      <c r="S40" s="303" t="s">
        <v>302</v>
      </c>
      <c r="T40" s="302"/>
      <c r="U40" s="301"/>
      <c r="V40" s="302"/>
      <c r="W40" s="303" t="s">
        <v>342</v>
      </c>
      <c r="X40" s="302"/>
      <c r="Y40" s="301"/>
      <c r="Z40" s="302"/>
      <c r="AA40" s="303" t="s">
        <v>342</v>
      </c>
      <c r="AB40" s="302"/>
    </row>
    <row r="41" spans="8:28">
      <c r="P41" s="304" t="s">
        <v>335</v>
      </c>
      <c r="Q41" s="301"/>
      <c r="R41" s="302"/>
      <c r="S41" s="303" t="s">
        <v>372</v>
      </c>
      <c r="T41" s="302"/>
      <c r="U41" s="301"/>
      <c r="V41" s="302"/>
      <c r="W41" s="303" t="s">
        <v>343</v>
      </c>
      <c r="X41" s="302"/>
      <c r="Y41" s="301"/>
      <c r="Z41" s="302"/>
      <c r="AA41" s="303" t="s">
        <v>343</v>
      </c>
      <c r="AB41" s="302"/>
    </row>
    <row r="42" spans="8:28">
      <c r="P42" s="304" t="s">
        <v>336</v>
      </c>
      <c r="Q42" s="301"/>
      <c r="R42" s="302"/>
      <c r="S42" s="303" t="s">
        <v>303</v>
      </c>
      <c r="T42" s="302"/>
      <c r="U42" s="301"/>
      <c r="V42" s="302"/>
      <c r="W42" s="303" t="s">
        <v>344</v>
      </c>
      <c r="X42" s="302"/>
      <c r="Y42" s="301"/>
      <c r="Z42" s="302"/>
      <c r="AA42" s="303" t="s">
        <v>348</v>
      </c>
      <c r="AB42" s="302"/>
    </row>
  </sheetData>
  <mergeCells count="5">
    <mergeCell ref="V33:X33"/>
    <mergeCell ref="Z33:AB33"/>
    <mergeCell ref="A24:K24"/>
    <mergeCell ref="A22:K22"/>
    <mergeCell ref="R33:T33"/>
  </mergeCells>
  <hyperlinks>
    <hyperlink ref="P30" r:id="rId1" display="https://www.oregon.gov/pers/EMP/Documents/GASB/2019/PERS GASB 68 Report FY 6.30.19.pdf" xr:uid="{9897C195-8789-475F-979C-C7721BC7F28F}"/>
  </hyperlinks>
  <pageMargins left="0.7" right="0.7" top="0.75" bottom="0.75" header="0.3" footer="0.3"/>
  <pageSetup scale="92" orientation="portrait" horizontalDpi="300" verticalDpi="30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103"/>
  <sheetViews>
    <sheetView topLeftCell="K1" workbookViewId="0">
      <selection activeCell="T38" sqref="T38"/>
    </sheetView>
  </sheetViews>
  <sheetFormatPr defaultColWidth="9.109375" defaultRowHeight="14.4"/>
  <cols>
    <col min="1" max="1" width="36.6640625" style="7" customWidth="1"/>
    <col min="2" max="2" width="5.109375" style="7" bestFit="1" customWidth="1"/>
    <col min="3" max="3" width="14.33203125" style="7" bestFit="1" customWidth="1"/>
    <col min="4" max="4" width="12.44140625" style="7" customWidth="1"/>
    <col min="5" max="5" width="17.109375" style="7" customWidth="1"/>
    <col min="6" max="6" width="16" style="7" bestFit="1" customWidth="1"/>
    <col min="7" max="7" width="14.6640625" style="7" bestFit="1" customWidth="1"/>
    <col min="8" max="8" width="16.44140625" style="7" hidden="1" customWidth="1"/>
    <col min="9" max="10" width="9.109375" style="7"/>
    <col min="11" max="11" width="11.6640625" style="7" bestFit="1" customWidth="1"/>
    <col min="12" max="12" width="29.6640625" customWidth="1"/>
    <col min="13" max="13" width="13.33203125" style="7" bestFit="1" customWidth="1"/>
    <col min="14" max="14" width="9.6640625" style="7" bestFit="1" customWidth="1"/>
    <col min="15" max="15" width="16.44140625" style="7" customWidth="1"/>
    <col min="16" max="16" width="15.44140625" style="7" customWidth="1"/>
    <col min="17" max="17" width="16.109375" style="7" customWidth="1"/>
    <col min="18" max="18" width="14.88671875" style="7" bestFit="1" customWidth="1"/>
    <col min="19" max="19" width="15.109375" style="7" bestFit="1" customWidth="1"/>
    <col min="20" max="20" width="13.33203125" style="7" bestFit="1" customWidth="1"/>
    <col min="21" max="16384" width="9.109375" style="7"/>
  </cols>
  <sheetData>
    <row r="1" spans="1:12">
      <c r="A1" s="261" t="s">
        <v>393</v>
      </c>
      <c r="J1" s="271" t="s">
        <v>364</v>
      </c>
      <c r="K1" s="271"/>
      <c r="L1" s="272"/>
    </row>
    <row r="4" spans="1:12">
      <c r="E4" s="8"/>
      <c r="F4" s="8"/>
      <c r="G4" s="8"/>
      <c r="H4" s="8"/>
    </row>
    <row r="5" spans="1:12">
      <c r="E5" s="8"/>
      <c r="H5" s="8" t="s">
        <v>119</v>
      </c>
    </row>
    <row r="6" spans="1:12">
      <c r="C6" s="230"/>
      <c r="E6" s="8"/>
      <c r="H6" s="8" t="s">
        <v>173</v>
      </c>
    </row>
    <row r="7" spans="1:12">
      <c r="C7" s="8" t="s">
        <v>54</v>
      </c>
      <c r="D7" s="8"/>
      <c r="E7" s="8"/>
      <c r="F7" s="8"/>
      <c r="G7" s="8"/>
      <c r="H7" s="8" t="s">
        <v>124</v>
      </c>
    </row>
    <row r="8" spans="1:12">
      <c r="C8" s="8" t="s">
        <v>55</v>
      </c>
      <c r="D8" s="8" t="s">
        <v>122</v>
      </c>
      <c r="E8" s="8" t="s">
        <v>121</v>
      </c>
      <c r="F8" s="8" t="s">
        <v>119</v>
      </c>
      <c r="G8" s="8" t="s">
        <v>119</v>
      </c>
      <c r="H8" s="8" t="s">
        <v>125</v>
      </c>
    </row>
    <row r="9" spans="1:12">
      <c r="B9" s="224" t="s">
        <v>56</v>
      </c>
      <c r="C9" s="262" t="s">
        <v>395</v>
      </c>
      <c r="D9" s="10" t="s">
        <v>57</v>
      </c>
      <c r="E9" s="11" t="s">
        <v>258</v>
      </c>
      <c r="F9" s="11" t="s">
        <v>120</v>
      </c>
      <c r="G9" s="11" t="s">
        <v>123</v>
      </c>
      <c r="H9" s="10" t="s">
        <v>155</v>
      </c>
    </row>
    <row r="10" spans="1:12">
      <c r="A10" s="185" t="s">
        <v>131</v>
      </c>
      <c r="B10" s="185" t="s">
        <v>58</v>
      </c>
      <c r="C10" s="269">
        <v>58481</v>
      </c>
      <c r="D10" s="12">
        <f t="shared" ref="D10:D35" si="0">C10/$C$37</f>
        <v>0.38675352159248727</v>
      </c>
      <c r="E10" s="65">
        <f>ROUND($E$48*D10,0)</f>
        <v>-569931</v>
      </c>
      <c r="F10" s="65">
        <f>ROUND($F$48*D10,0)</f>
        <v>299707</v>
      </c>
      <c r="G10" s="367">
        <f>ROUND($G$48*D10,0)+1</f>
        <v>-74222</v>
      </c>
      <c r="H10" s="65">
        <v>0</v>
      </c>
      <c r="J10" s="66"/>
    </row>
    <row r="11" spans="1:12">
      <c r="A11" s="185" t="s">
        <v>129</v>
      </c>
      <c r="B11" s="185" t="s">
        <v>58</v>
      </c>
      <c r="C11" s="269">
        <v>3141</v>
      </c>
      <c r="D11" s="12">
        <f t="shared" si="0"/>
        <v>2.0772435685470537E-2</v>
      </c>
      <c r="E11" s="65">
        <f t="shared" ref="E11:E35" si="1">ROUND($E$48*D11,0)</f>
        <v>-30611</v>
      </c>
      <c r="F11" s="65">
        <f t="shared" ref="F11:F35" si="2">ROUND($F$48*D11,0)</f>
        <v>16097</v>
      </c>
      <c r="G11" s="65">
        <f t="shared" ref="G11:G35" si="3">ROUND($G$48*D11,0)</f>
        <v>-3987</v>
      </c>
      <c r="H11" s="65">
        <v>0</v>
      </c>
      <c r="J11" s="66"/>
    </row>
    <row r="12" spans="1:12" hidden="1">
      <c r="A12" s="185" t="s">
        <v>271</v>
      </c>
      <c r="B12" s="185" t="s">
        <v>58</v>
      </c>
      <c r="C12" s="269">
        <v>0</v>
      </c>
      <c r="D12" s="12">
        <f t="shared" si="0"/>
        <v>0</v>
      </c>
      <c r="E12" s="65">
        <f t="shared" si="1"/>
        <v>0</v>
      </c>
      <c r="F12" s="65">
        <f t="shared" si="2"/>
        <v>0</v>
      </c>
      <c r="G12" s="65">
        <f t="shared" si="3"/>
        <v>0</v>
      </c>
      <c r="H12" s="65">
        <v>0</v>
      </c>
      <c r="J12" s="66"/>
    </row>
    <row r="13" spans="1:12" hidden="1">
      <c r="A13" s="185" t="s">
        <v>271</v>
      </c>
      <c r="B13" s="185" t="s">
        <v>58</v>
      </c>
      <c r="C13" s="269">
        <v>0</v>
      </c>
      <c r="D13" s="12">
        <f t="shared" si="0"/>
        <v>0</v>
      </c>
      <c r="E13" s="65">
        <f t="shared" si="1"/>
        <v>0</v>
      </c>
      <c r="F13" s="65">
        <f t="shared" si="2"/>
        <v>0</v>
      </c>
      <c r="G13" s="65">
        <f t="shared" si="3"/>
        <v>0</v>
      </c>
      <c r="H13" s="65">
        <v>0</v>
      </c>
      <c r="J13" s="66"/>
    </row>
    <row r="14" spans="1:12" hidden="1">
      <c r="A14" s="185" t="s">
        <v>271</v>
      </c>
      <c r="B14" s="185" t="s">
        <v>58</v>
      </c>
      <c r="C14" s="269">
        <v>0</v>
      </c>
      <c r="D14" s="12">
        <f t="shared" si="0"/>
        <v>0</v>
      </c>
      <c r="E14" s="65">
        <f t="shared" si="1"/>
        <v>0</v>
      </c>
      <c r="F14" s="65">
        <f t="shared" si="2"/>
        <v>0</v>
      </c>
      <c r="G14" s="65">
        <f t="shared" si="3"/>
        <v>0</v>
      </c>
      <c r="H14" s="65">
        <v>0</v>
      </c>
      <c r="J14" s="66"/>
    </row>
    <row r="15" spans="1:12" hidden="1">
      <c r="A15" s="185" t="s">
        <v>271</v>
      </c>
      <c r="B15" s="185" t="s">
        <v>58</v>
      </c>
      <c r="C15" s="269">
        <v>0</v>
      </c>
      <c r="D15" s="12">
        <f t="shared" si="0"/>
        <v>0</v>
      </c>
      <c r="E15" s="65">
        <f t="shared" si="1"/>
        <v>0</v>
      </c>
      <c r="F15" s="65">
        <f t="shared" si="2"/>
        <v>0</v>
      </c>
      <c r="G15" s="65">
        <f t="shared" si="3"/>
        <v>0</v>
      </c>
      <c r="H15" s="65">
        <v>0</v>
      </c>
      <c r="J15" s="66"/>
    </row>
    <row r="16" spans="1:12" ht="14.25" hidden="1" customHeight="1">
      <c r="A16" s="185" t="s">
        <v>271</v>
      </c>
      <c r="B16" s="185" t="s">
        <v>58</v>
      </c>
      <c r="C16" s="269">
        <v>0</v>
      </c>
      <c r="D16" s="12">
        <f t="shared" si="0"/>
        <v>0</v>
      </c>
      <c r="E16" s="65">
        <f t="shared" si="1"/>
        <v>0</v>
      </c>
      <c r="F16" s="65">
        <f t="shared" si="2"/>
        <v>0</v>
      </c>
      <c r="G16" s="65">
        <f t="shared" si="3"/>
        <v>0</v>
      </c>
      <c r="H16" s="65">
        <v>0</v>
      </c>
      <c r="J16" s="66"/>
    </row>
    <row r="17" spans="1:10" hidden="1">
      <c r="A17" s="185" t="s">
        <v>271</v>
      </c>
      <c r="B17" s="185" t="s">
        <v>58</v>
      </c>
      <c r="C17" s="270">
        <v>0</v>
      </c>
      <c r="D17" s="12">
        <f t="shared" si="0"/>
        <v>0</v>
      </c>
      <c r="E17" s="65">
        <f t="shared" si="1"/>
        <v>0</v>
      </c>
      <c r="F17" s="65">
        <f t="shared" si="2"/>
        <v>0</v>
      </c>
      <c r="G17" s="65">
        <f t="shared" si="3"/>
        <v>0</v>
      </c>
      <c r="H17" s="65">
        <f t="shared" ref="H17:H35" si="4">$H$37*D17</f>
        <v>0</v>
      </c>
      <c r="J17" s="66"/>
    </row>
    <row r="18" spans="1:10" hidden="1">
      <c r="A18" s="185" t="s">
        <v>271</v>
      </c>
      <c r="B18" s="185" t="s">
        <v>58</v>
      </c>
      <c r="C18" s="270">
        <v>0</v>
      </c>
      <c r="D18" s="12">
        <f t="shared" si="0"/>
        <v>0</v>
      </c>
      <c r="E18" s="65">
        <f t="shared" si="1"/>
        <v>0</v>
      </c>
      <c r="F18" s="65">
        <f t="shared" si="2"/>
        <v>0</v>
      </c>
      <c r="G18" s="65">
        <f t="shared" si="3"/>
        <v>0</v>
      </c>
      <c r="H18" s="65">
        <f t="shared" si="4"/>
        <v>0</v>
      </c>
      <c r="J18" s="66"/>
    </row>
    <row r="19" spans="1:10" hidden="1">
      <c r="A19" s="185" t="s">
        <v>271</v>
      </c>
      <c r="B19" s="185" t="s">
        <v>58</v>
      </c>
      <c r="C19" s="269">
        <v>0</v>
      </c>
      <c r="D19" s="12">
        <f t="shared" si="0"/>
        <v>0</v>
      </c>
      <c r="E19" s="65">
        <f t="shared" si="1"/>
        <v>0</v>
      </c>
      <c r="F19" s="65">
        <f t="shared" si="2"/>
        <v>0</v>
      </c>
      <c r="G19" s="65">
        <f t="shared" si="3"/>
        <v>0</v>
      </c>
      <c r="H19" s="65">
        <f t="shared" si="4"/>
        <v>0</v>
      </c>
      <c r="J19" s="66"/>
    </row>
    <row r="20" spans="1:10" hidden="1">
      <c r="A20" s="185" t="s">
        <v>271</v>
      </c>
      <c r="B20" s="185" t="s">
        <v>58</v>
      </c>
      <c r="C20" s="269">
        <v>0</v>
      </c>
      <c r="D20" s="12">
        <f t="shared" si="0"/>
        <v>0</v>
      </c>
      <c r="E20" s="65">
        <f t="shared" si="1"/>
        <v>0</v>
      </c>
      <c r="F20" s="65">
        <f t="shared" si="2"/>
        <v>0</v>
      </c>
      <c r="G20" s="65">
        <f t="shared" si="3"/>
        <v>0</v>
      </c>
      <c r="H20" s="65">
        <f t="shared" si="4"/>
        <v>0</v>
      </c>
      <c r="J20" s="66"/>
    </row>
    <row r="21" spans="1:10" hidden="1">
      <c r="A21" s="185" t="s">
        <v>271</v>
      </c>
      <c r="B21" s="185" t="s">
        <v>58</v>
      </c>
      <c r="C21" s="269">
        <v>0</v>
      </c>
      <c r="D21" s="12">
        <f t="shared" si="0"/>
        <v>0</v>
      </c>
      <c r="E21" s="65">
        <f t="shared" si="1"/>
        <v>0</v>
      </c>
      <c r="F21" s="65">
        <f t="shared" si="2"/>
        <v>0</v>
      </c>
      <c r="G21" s="65">
        <f t="shared" si="3"/>
        <v>0</v>
      </c>
      <c r="H21" s="65">
        <f t="shared" si="4"/>
        <v>0</v>
      </c>
      <c r="J21" s="66"/>
    </row>
    <row r="22" spans="1:10">
      <c r="A22" s="185" t="s">
        <v>289</v>
      </c>
      <c r="B22" s="185" t="s">
        <v>59</v>
      </c>
      <c r="C22" s="269">
        <v>61897</v>
      </c>
      <c r="D22" s="12">
        <f t="shared" si="0"/>
        <v>0.40934462006481054</v>
      </c>
      <c r="E22" s="65">
        <f t="shared" si="1"/>
        <v>-603222</v>
      </c>
      <c r="F22" s="65">
        <f t="shared" si="2"/>
        <v>317214</v>
      </c>
      <c r="G22" s="65">
        <f t="shared" si="3"/>
        <v>-78559</v>
      </c>
      <c r="H22" s="65">
        <f t="shared" si="4"/>
        <v>0</v>
      </c>
      <c r="J22" s="66"/>
    </row>
    <row r="23" spans="1:10">
      <c r="A23" s="185" t="s">
        <v>290</v>
      </c>
      <c r="B23" s="185" t="s">
        <v>59</v>
      </c>
      <c r="C23" s="269">
        <v>10241</v>
      </c>
      <c r="D23" s="12">
        <f t="shared" si="0"/>
        <v>6.7727002182395343E-2</v>
      </c>
      <c r="E23" s="65">
        <f t="shared" si="1"/>
        <v>-99804</v>
      </c>
      <c r="F23" s="65">
        <f t="shared" si="2"/>
        <v>52484</v>
      </c>
      <c r="G23" s="65">
        <f t="shared" si="3"/>
        <v>-12998</v>
      </c>
      <c r="H23" s="65">
        <f t="shared" si="4"/>
        <v>0</v>
      </c>
      <c r="J23" s="66"/>
    </row>
    <row r="24" spans="1:10">
      <c r="A24" s="185" t="s">
        <v>291</v>
      </c>
      <c r="B24" s="185" t="s">
        <v>59</v>
      </c>
      <c r="C24" s="269">
        <v>6896</v>
      </c>
      <c r="D24" s="12">
        <f t="shared" si="0"/>
        <v>4.5605449375041331E-2</v>
      </c>
      <c r="E24" s="65">
        <f t="shared" si="1"/>
        <v>-67205</v>
      </c>
      <c r="F24" s="65">
        <f t="shared" si="2"/>
        <v>35341</v>
      </c>
      <c r="G24" s="65">
        <f t="shared" si="3"/>
        <v>-8752</v>
      </c>
      <c r="H24" s="65">
        <f t="shared" si="4"/>
        <v>0</v>
      </c>
      <c r="J24" s="66"/>
    </row>
    <row r="25" spans="1:10" hidden="1">
      <c r="A25" s="185" t="s">
        <v>292</v>
      </c>
      <c r="B25" s="185" t="s">
        <v>59</v>
      </c>
      <c r="C25" s="269">
        <v>10554</v>
      </c>
      <c r="D25" s="12">
        <f t="shared" si="0"/>
        <v>6.9796971099794991E-2</v>
      </c>
      <c r="E25" s="65">
        <f t="shared" si="1"/>
        <v>-102855</v>
      </c>
      <c r="F25" s="65">
        <f t="shared" si="2"/>
        <v>54088</v>
      </c>
      <c r="G25" s="65">
        <f t="shared" si="3"/>
        <v>-13395</v>
      </c>
      <c r="H25" s="65">
        <f t="shared" si="4"/>
        <v>0</v>
      </c>
      <c r="J25" s="66"/>
    </row>
    <row r="26" spans="1:10" hidden="1">
      <c r="A26" s="185" t="s">
        <v>272</v>
      </c>
      <c r="B26" s="185" t="s">
        <v>59</v>
      </c>
      <c r="C26" s="63">
        <v>0</v>
      </c>
      <c r="D26" s="12">
        <f t="shared" si="0"/>
        <v>0</v>
      </c>
      <c r="E26" s="65">
        <f t="shared" si="1"/>
        <v>0</v>
      </c>
      <c r="F26" s="65">
        <f t="shared" si="2"/>
        <v>0</v>
      </c>
      <c r="G26" s="65">
        <f t="shared" si="3"/>
        <v>0</v>
      </c>
      <c r="H26" s="65">
        <f t="shared" si="4"/>
        <v>0</v>
      </c>
      <c r="J26" s="66"/>
    </row>
    <row r="27" spans="1:10" hidden="1">
      <c r="A27" s="185" t="s">
        <v>272</v>
      </c>
      <c r="B27" s="185" t="s">
        <v>59</v>
      </c>
      <c r="C27" s="63">
        <v>0</v>
      </c>
      <c r="D27" s="12">
        <f t="shared" si="0"/>
        <v>0</v>
      </c>
      <c r="E27" s="65">
        <f t="shared" si="1"/>
        <v>0</v>
      </c>
      <c r="F27" s="65">
        <f t="shared" si="2"/>
        <v>0</v>
      </c>
      <c r="G27" s="65">
        <f t="shared" si="3"/>
        <v>0</v>
      </c>
      <c r="H27" s="65">
        <f t="shared" si="4"/>
        <v>0</v>
      </c>
      <c r="J27" s="66"/>
    </row>
    <row r="28" spans="1:10" hidden="1">
      <c r="A28" s="185" t="s">
        <v>272</v>
      </c>
      <c r="B28" s="185" t="s">
        <v>59</v>
      </c>
      <c r="C28" s="63">
        <v>0</v>
      </c>
      <c r="D28" s="12">
        <f t="shared" si="0"/>
        <v>0</v>
      </c>
      <c r="E28" s="65">
        <f t="shared" si="1"/>
        <v>0</v>
      </c>
      <c r="F28" s="65">
        <f t="shared" si="2"/>
        <v>0</v>
      </c>
      <c r="G28" s="65">
        <f t="shared" si="3"/>
        <v>0</v>
      </c>
      <c r="H28" s="65">
        <f t="shared" si="4"/>
        <v>0</v>
      </c>
      <c r="J28" s="66"/>
    </row>
    <row r="29" spans="1:10" hidden="1">
      <c r="A29" s="185" t="s">
        <v>272</v>
      </c>
      <c r="B29" s="185" t="s">
        <v>59</v>
      </c>
      <c r="C29" s="63">
        <v>0</v>
      </c>
      <c r="D29" s="12">
        <f t="shared" si="0"/>
        <v>0</v>
      </c>
      <c r="E29" s="65">
        <f t="shared" si="1"/>
        <v>0</v>
      </c>
      <c r="F29" s="65">
        <f t="shared" si="2"/>
        <v>0</v>
      </c>
      <c r="G29" s="65">
        <f t="shared" si="3"/>
        <v>0</v>
      </c>
      <c r="H29" s="65">
        <f t="shared" si="4"/>
        <v>0</v>
      </c>
      <c r="J29" s="66"/>
    </row>
    <row r="30" spans="1:10" hidden="1">
      <c r="A30" s="185" t="s">
        <v>272</v>
      </c>
      <c r="B30" s="185" t="s">
        <v>59</v>
      </c>
      <c r="C30" s="63">
        <v>0</v>
      </c>
      <c r="D30" s="12">
        <f t="shared" si="0"/>
        <v>0</v>
      </c>
      <c r="E30" s="65">
        <f t="shared" si="1"/>
        <v>0</v>
      </c>
      <c r="F30" s="65">
        <f t="shared" si="2"/>
        <v>0</v>
      </c>
      <c r="G30" s="65">
        <f t="shared" si="3"/>
        <v>0</v>
      </c>
      <c r="H30" s="65">
        <f t="shared" si="4"/>
        <v>0</v>
      </c>
      <c r="J30" s="66"/>
    </row>
    <row r="31" spans="1:10" hidden="1">
      <c r="A31" s="185" t="s">
        <v>272</v>
      </c>
      <c r="B31" s="185" t="s">
        <v>59</v>
      </c>
      <c r="C31" s="63">
        <v>0</v>
      </c>
      <c r="D31" s="12">
        <f t="shared" si="0"/>
        <v>0</v>
      </c>
      <c r="E31" s="65">
        <f t="shared" si="1"/>
        <v>0</v>
      </c>
      <c r="F31" s="65">
        <f t="shared" si="2"/>
        <v>0</v>
      </c>
      <c r="G31" s="65">
        <f t="shared" si="3"/>
        <v>0</v>
      </c>
      <c r="H31" s="65">
        <f t="shared" si="4"/>
        <v>0</v>
      </c>
      <c r="J31" s="66"/>
    </row>
    <row r="32" spans="1:10" hidden="1">
      <c r="A32" s="185" t="s">
        <v>272</v>
      </c>
      <c r="B32" s="185" t="s">
        <v>59</v>
      </c>
      <c r="C32" s="63">
        <v>0</v>
      </c>
      <c r="D32" s="12">
        <f t="shared" si="0"/>
        <v>0</v>
      </c>
      <c r="E32" s="65">
        <f t="shared" si="1"/>
        <v>0</v>
      </c>
      <c r="F32" s="65">
        <f t="shared" si="2"/>
        <v>0</v>
      </c>
      <c r="G32" s="65">
        <f t="shared" si="3"/>
        <v>0</v>
      </c>
      <c r="H32" s="65">
        <f t="shared" si="4"/>
        <v>0</v>
      </c>
      <c r="J32" s="66"/>
    </row>
    <row r="33" spans="1:14" hidden="1">
      <c r="A33" s="185" t="s">
        <v>272</v>
      </c>
      <c r="B33" s="185" t="s">
        <v>59</v>
      </c>
      <c r="C33" s="63">
        <v>0</v>
      </c>
      <c r="D33" s="12">
        <f t="shared" si="0"/>
        <v>0</v>
      </c>
      <c r="E33" s="65">
        <f t="shared" si="1"/>
        <v>0</v>
      </c>
      <c r="F33" s="65">
        <f t="shared" si="2"/>
        <v>0</v>
      </c>
      <c r="G33" s="65">
        <f t="shared" si="3"/>
        <v>0</v>
      </c>
      <c r="H33" s="65">
        <f t="shared" si="4"/>
        <v>0</v>
      </c>
      <c r="J33" s="66"/>
    </row>
    <row r="34" spans="1:14" hidden="1">
      <c r="A34" s="185" t="s">
        <v>272</v>
      </c>
      <c r="B34" s="185" t="s">
        <v>59</v>
      </c>
      <c r="C34" s="63">
        <v>0</v>
      </c>
      <c r="D34" s="12">
        <f t="shared" si="0"/>
        <v>0</v>
      </c>
      <c r="E34" s="65">
        <f t="shared" si="1"/>
        <v>0</v>
      </c>
      <c r="F34" s="65">
        <f t="shared" si="2"/>
        <v>0</v>
      </c>
      <c r="G34" s="65">
        <f t="shared" si="3"/>
        <v>0</v>
      </c>
      <c r="H34" s="65">
        <f t="shared" si="4"/>
        <v>0</v>
      </c>
      <c r="J34" s="66"/>
    </row>
    <row r="35" spans="1:14" hidden="1">
      <c r="A35" s="185" t="s">
        <v>272</v>
      </c>
      <c r="B35" s="185" t="s">
        <v>59</v>
      </c>
      <c r="C35" s="66">
        <v>0</v>
      </c>
      <c r="D35" s="12">
        <f t="shared" si="0"/>
        <v>0</v>
      </c>
      <c r="E35" s="65">
        <f t="shared" si="1"/>
        <v>0</v>
      </c>
      <c r="F35" s="65">
        <f t="shared" si="2"/>
        <v>0</v>
      </c>
      <c r="G35" s="65">
        <f t="shared" si="3"/>
        <v>0</v>
      </c>
      <c r="H35" s="65">
        <f t="shared" si="4"/>
        <v>0</v>
      </c>
      <c r="J35" s="66"/>
    </row>
    <row r="36" spans="1:14">
      <c r="A36" s="185"/>
      <c r="B36" s="185"/>
      <c r="C36" s="16"/>
      <c r="D36" s="16"/>
      <c r="E36" s="16"/>
      <c r="F36" s="17"/>
      <c r="G36" s="17"/>
      <c r="H36" s="17"/>
      <c r="J36" s="66"/>
    </row>
    <row r="37" spans="1:14" ht="13.95" customHeight="1" thickBot="1">
      <c r="A37" s="7" t="s">
        <v>128</v>
      </c>
      <c r="C37" s="73">
        <f>SUM(C10:C35)</f>
        <v>151210</v>
      </c>
      <c r="D37" s="69">
        <v>1</v>
      </c>
      <c r="E37" s="73">
        <f>SUM(E10:E35)</f>
        <v>-1473628</v>
      </c>
      <c r="F37" s="73">
        <f>SUM(F10:F35)</f>
        <v>774931</v>
      </c>
      <c r="G37" s="73">
        <f t="shared" ref="G37" si="5">SUM(G10:G35)</f>
        <v>-191913</v>
      </c>
      <c r="H37" s="15">
        <f>SUM(H10:H16)</f>
        <v>0</v>
      </c>
      <c r="J37" s="66"/>
    </row>
    <row r="38" spans="1:14" ht="15" thickTop="1">
      <c r="C38" s="65"/>
      <c r="D38" s="12"/>
      <c r="E38" s="65"/>
      <c r="F38" s="65"/>
      <c r="G38" s="65"/>
      <c r="H38" s="65"/>
      <c r="J38" s="66"/>
    </row>
    <row r="39" spans="1:14">
      <c r="C39" s="65"/>
      <c r="D39" s="12"/>
      <c r="E39" s="65"/>
      <c r="F39" s="65"/>
      <c r="G39" s="65"/>
      <c r="H39" s="65"/>
      <c r="J39" s="66"/>
    </row>
    <row r="40" spans="1:14">
      <c r="A40" s="7" t="s">
        <v>130</v>
      </c>
      <c r="B40" s="7" t="s">
        <v>58</v>
      </c>
      <c r="C40" s="65">
        <f t="shared" ref="C40:H41" si="6">SUMIF($B$10:$B$35,$B40,C$10:C$35)</f>
        <v>61622</v>
      </c>
      <c r="D40" s="12">
        <f t="shared" si="6"/>
        <v>0.40752595727795782</v>
      </c>
      <c r="E40" s="65">
        <f t="shared" si="6"/>
        <v>-600542</v>
      </c>
      <c r="F40" s="65">
        <f>SUMIF($B$10:$B$35,$B40,F$10:F$35)</f>
        <v>315804</v>
      </c>
      <c r="G40" s="65">
        <f t="shared" si="6"/>
        <v>-78209</v>
      </c>
      <c r="H40" s="65">
        <f t="shared" si="6"/>
        <v>0</v>
      </c>
      <c r="I40" s="66"/>
      <c r="J40" s="66"/>
    </row>
    <row r="41" spans="1:14">
      <c r="A41" s="7" t="s">
        <v>156</v>
      </c>
      <c r="B41" s="7" t="s">
        <v>59</v>
      </c>
      <c r="C41" s="65">
        <f t="shared" si="6"/>
        <v>89588</v>
      </c>
      <c r="D41" s="12">
        <f t="shared" si="6"/>
        <v>0.59247404272204218</v>
      </c>
      <c r="E41" s="65">
        <f t="shared" si="6"/>
        <v>-873086</v>
      </c>
      <c r="F41" s="65">
        <f t="shared" si="6"/>
        <v>459127</v>
      </c>
      <c r="G41" s="65">
        <f t="shared" si="6"/>
        <v>-113704</v>
      </c>
      <c r="H41" s="65">
        <f t="shared" si="6"/>
        <v>0</v>
      </c>
      <c r="J41" s="66"/>
    </row>
    <row r="42" spans="1:14">
      <c r="C42" s="67"/>
      <c r="D42" s="72"/>
      <c r="E42" s="67"/>
      <c r="F42" s="67"/>
      <c r="G42" s="67"/>
      <c r="H42" s="67"/>
      <c r="J42" s="66"/>
    </row>
    <row r="43" spans="1:14" ht="15" thickBot="1">
      <c r="C43" s="73">
        <f>SUM(C40:C41)</f>
        <v>151210</v>
      </c>
      <c r="D43" s="69">
        <f t="shared" ref="D43:H43" si="7">SUM(D40:D41)</f>
        <v>1</v>
      </c>
      <c r="E43" s="73">
        <f t="shared" si="7"/>
        <v>-1473628</v>
      </c>
      <c r="F43" s="73">
        <f t="shared" si="7"/>
        <v>774931</v>
      </c>
      <c r="G43" s="73">
        <f t="shared" si="7"/>
        <v>-191913</v>
      </c>
      <c r="H43" s="73">
        <f t="shared" si="7"/>
        <v>0</v>
      </c>
      <c r="J43" s="66"/>
    </row>
    <row r="44" spans="1:14" ht="15" thickTop="1">
      <c r="C44" s="66"/>
      <c r="D44" s="12"/>
      <c r="E44" s="66"/>
      <c r="F44" s="66"/>
      <c r="G44" s="66"/>
      <c r="H44" s="66"/>
    </row>
    <row r="45" spans="1:14">
      <c r="C45" s="74">
        <f>C37-C43</f>
        <v>0</v>
      </c>
      <c r="D45" s="74">
        <f t="shared" ref="D45:H45" si="8">D37-D43</f>
        <v>0</v>
      </c>
      <c r="E45" s="74">
        <f t="shared" si="8"/>
        <v>0</v>
      </c>
      <c r="F45" s="74">
        <f t="shared" si="8"/>
        <v>0</v>
      </c>
      <c r="G45" s="74">
        <f t="shared" si="8"/>
        <v>0</v>
      </c>
      <c r="H45" s="74">
        <f t="shared" si="8"/>
        <v>0</v>
      </c>
    </row>
    <row r="46" spans="1:14">
      <c r="E46" s="8" t="s">
        <v>208</v>
      </c>
      <c r="F46" s="8" t="s">
        <v>209</v>
      </c>
      <c r="G46" s="8" t="s">
        <v>210</v>
      </c>
    </row>
    <row r="47" spans="1:14">
      <c r="B47" s="81"/>
      <c r="C47" s="9"/>
      <c r="D47" s="263" t="s">
        <v>356</v>
      </c>
      <c r="E47" s="198">
        <f>'Lead Sheet'!E46</f>
        <v>-979977</v>
      </c>
      <c r="F47" s="199">
        <f>'Lead Sheet'!E47</f>
        <v>552773</v>
      </c>
      <c r="G47" s="199">
        <f>'Lead Sheet'!E48</f>
        <v>-246377</v>
      </c>
      <c r="J47" s="135"/>
      <c r="K47" s="239"/>
      <c r="M47" s="145"/>
    </row>
    <row r="48" spans="1:14">
      <c r="B48" s="81"/>
      <c r="C48" s="9"/>
      <c r="D48" s="263" t="s">
        <v>394</v>
      </c>
      <c r="E48" s="13">
        <f>-'State Schedule'!D13</f>
        <v>-1473628</v>
      </c>
      <c r="F48" s="66">
        <f>'State Schedule'!C31+'State Schedule'!C32</f>
        <v>774931</v>
      </c>
      <c r="G48" s="66">
        <f>-'State Schedule'!D31</f>
        <v>-191913</v>
      </c>
      <c r="J48" s="135"/>
      <c r="K48" s="239"/>
      <c r="M48" s="240"/>
      <c r="N48" s="237"/>
    </row>
    <row r="49" spans="1:14" ht="15" thickBot="1">
      <c r="C49" s="9"/>
      <c r="D49" s="39" t="s">
        <v>126</v>
      </c>
      <c r="E49" s="228">
        <f>E48-E47</f>
        <v>-493651</v>
      </c>
      <c r="F49" s="228">
        <f t="shared" ref="F49:H49" si="9">F48-F47</f>
        <v>222158</v>
      </c>
      <c r="G49" s="228">
        <f t="shared" si="9"/>
        <v>54464</v>
      </c>
      <c r="H49" s="228">
        <f t="shared" si="9"/>
        <v>0</v>
      </c>
      <c r="M49" s="14"/>
    </row>
    <row r="50" spans="1:14" ht="15" thickTop="1">
      <c r="C50" s="9"/>
      <c r="D50" s="39"/>
      <c r="E50" s="201"/>
      <c r="F50" s="201"/>
      <c r="G50" s="201"/>
    </row>
    <row r="51" spans="1:14">
      <c r="A51" s="224"/>
      <c r="C51" s="9"/>
      <c r="D51" s="39"/>
      <c r="E51" s="74">
        <f>E37-E48</f>
        <v>0</v>
      </c>
      <c r="F51" s="74">
        <f>F37-F48</f>
        <v>0</v>
      </c>
      <c r="G51" s="74">
        <f>G37-G48</f>
        <v>0</v>
      </c>
      <c r="J51" s="7" t="s">
        <v>286</v>
      </c>
    </row>
    <row r="52" spans="1:14">
      <c r="A52" s="224"/>
      <c r="C52" s="9"/>
      <c r="D52" s="39"/>
      <c r="E52" s="13"/>
      <c r="J52" s="342" t="s">
        <v>228</v>
      </c>
      <c r="M52" s="145">
        <f>178898+2</f>
        <v>178900</v>
      </c>
    </row>
    <row r="53" spans="1:14">
      <c r="A53" s="224"/>
      <c r="E53" s="13"/>
      <c r="J53" s="7" t="s">
        <v>254</v>
      </c>
      <c r="M53" s="66">
        <f>'From PERS'!A277</f>
        <v>152931</v>
      </c>
    </row>
    <row r="54" spans="1:14">
      <c r="A54" s="7" t="s">
        <v>165</v>
      </c>
      <c r="M54" s="195">
        <f>M52-M53</f>
        <v>25969</v>
      </c>
      <c r="N54" s="237" t="s">
        <v>243</v>
      </c>
    </row>
    <row r="55" spans="1:14">
      <c r="A55" s="7" t="str">
        <f>A22</f>
        <v>Electric</v>
      </c>
      <c r="C55" s="80" t="s">
        <v>117</v>
      </c>
      <c r="D55" s="80" t="s">
        <v>118</v>
      </c>
      <c r="F55" s="77"/>
    </row>
    <row r="56" spans="1:14">
      <c r="A56" s="76" t="s">
        <v>164</v>
      </c>
      <c r="C56" s="66">
        <f>IF('Lead Sheet'!G16&gt;0,'Lead Sheet'!G16,0)</f>
        <v>0</v>
      </c>
      <c r="D56" s="66">
        <f>IF('Lead Sheet'!G16&lt;0,-'Lead Sheet'!G16,0)</f>
        <v>370165</v>
      </c>
      <c r="J56" s="341" t="s">
        <v>285</v>
      </c>
      <c r="L56" s="7"/>
      <c r="M56" s="14"/>
    </row>
    <row r="57" spans="1:14">
      <c r="A57" s="76" t="s">
        <v>166</v>
      </c>
      <c r="C57" s="66">
        <f>IF('Lead Sheet'!G17&gt;0,'Lead Sheet'!G17,0)</f>
        <v>185754</v>
      </c>
      <c r="D57" s="66">
        <f>IF('Lead Sheet'!G17&lt;0,-'Lead Sheet'!G17,0)</f>
        <v>0</v>
      </c>
      <c r="J57" s="249" t="s">
        <v>261</v>
      </c>
      <c r="L57" s="7"/>
      <c r="M57" s="14">
        <f>'State Schedule'!D22</f>
        <v>408401</v>
      </c>
    </row>
    <row r="58" spans="1:14">
      <c r="A58" s="76" t="s">
        <v>167</v>
      </c>
      <c r="C58" s="66">
        <f>IF('Lead Sheet'!G18&gt;0,'Lead Sheet'!G18,0)</f>
        <v>0</v>
      </c>
      <c r="D58" s="66">
        <f>IF('Lead Sheet'!G18&lt;0,-'Lead Sheet'!G18,0)</f>
        <v>19966</v>
      </c>
      <c r="J58" s="341" t="s">
        <v>300</v>
      </c>
      <c r="L58" s="7"/>
      <c r="M58" s="14">
        <f>M54</f>
        <v>25969</v>
      </c>
      <c r="N58" s="237" t="s">
        <v>243</v>
      </c>
    </row>
    <row r="59" spans="1:14">
      <c r="A59" s="76" t="s">
        <v>162</v>
      </c>
      <c r="C59" s="66">
        <f>IF('Lead Sheet'!G19&gt;0,'Lead Sheet'!G19,0)</f>
        <v>204377</v>
      </c>
      <c r="D59" s="66">
        <f>IF('Lead Sheet'!G19&lt;0,-'Lead Sheet'!G19,0)</f>
        <v>0</v>
      </c>
      <c r="J59" s="250" t="s">
        <v>52</v>
      </c>
      <c r="L59" s="7"/>
      <c r="M59" s="238">
        <f>-'State Schedule'!C32</f>
        <v>-217341</v>
      </c>
      <c r="N59" s="237"/>
    </row>
    <row r="60" spans="1:14" ht="15" thickBot="1">
      <c r="C60" s="64"/>
      <c r="D60" s="64"/>
      <c r="J60" s="341" t="s">
        <v>284</v>
      </c>
      <c r="L60" s="7"/>
      <c r="M60" s="79">
        <f>SUM(M57:M59)</f>
        <v>217029</v>
      </c>
      <c r="N60" s="74">
        <f>M60-'Lead Sheet'!G49</f>
        <v>0</v>
      </c>
    </row>
    <row r="61" spans="1:14" ht="15.6" thickTop="1" thickBot="1">
      <c r="C61" s="73">
        <f>SUM(C56:C59)</f>
        <v>390131</v>
      </c>
      <c r="D61" s="73">
        <f>SUM(D56:D59)</f>
        <v>390131</v>
      </c>
      <c r="E61" s="74">
        <f>C61-D61</f>
        <v>0</v>
      </c>
      <c r="L61" s="7"/>
    </row>
    <row r="62" spans="1:14" ht="15" thickTop="1">
      <c r="N62" s="243"/>
    </row>
    <row r="63" spans="1:14">
      <c r="A63" s="7" t="str">
        <f>A23</f>
        <v>Emergency Services</v>
      </c>
      <c r="C63" s="80" t="s">
        <v>117</v>
      </c>
      <c r="D63" s="80" t="s">
        <v>118</v>
      </c>
    </row>
    <row r="64" spans="1:14">
      <c r="A64" s="76" t="s">
        <v>164</v>
      </c>
      <c r="C64" s="66">
        <f>IF('Lead Sheet'!G22&gt;0,'Lead Sheet'!G22,0)</f>
        <v>62114</v>
      </c>
      <c r="D64" s="66">
        <f>IF('Lead Sheet'!G22&lt;0,-'Lead Sheet'!G22,0)</f>
        <v>0</v>
      </c>
    </row>
    <row r="65" spans="1:5">
      <c r="A65" s="76" t="s">
        <v>166</v>
      </c>
      <c r="C65" s="66">
        <f>IF('Lead Sheet'!G23&gt;0,'Lead Sheet'!G23,0)</f>
        <v>0</v>
      </c>
      <c r="D65" s="66">
        <f>IF('Lead Sheet'!G23&lt;0,-'Lead Sheet'!G23,0)</f>
        <v>38849</v>
      </c>
    </row>
    <row r="66" spans="1:5">
      <c r="A66" s="76" t="s">
        <v>167</v>
      </c>
      <c r="C66" s="66">
        <f>IF('Lead Sheet'!G24&gt;0,'Lead Sheet'!G24,0)</f>
        <v>27710</v>
      </c>
      <c r="D66" s="66">
        <f>IF('Lead Sheet'!G24&lt;0,-'Lead Sheet'!G24,0)</f>
        <v>0</v>
      </c>
    </row>
    <row r="67" spans="1:5">
      <c r="A67" s="76" t="s">
        <v>162</v>
      </c>
      <c r="C67" s="66">
        <f>IF('Lead Sheet'!G25&gt;0,'Lead Sheet'!G25,0)</f>
        <v>0</v>
      </c>
      <c r="D67" s="66">
        <f>IF('Lead Sheet'!G25&lt;0,-'Lead Sheet'!G25,0)</f>
        <v>50975</v>
      </c>
    </row>
    <row r="68" spans="1:5">
      <c r="C68" s="64"/>
      <c r="D68" s="64"/>
    </row>
    <row r="69" spans="1:5" ht="15" thickBot="1">
      <c r="C69" s="73">
        <f>SUM(C64:C67)</f>
        <v>89824</v>
      </c>
      <c r="D69" s="73">
        <f>SUM(D64:D67)</f>
        <v>89824</v>
      </c>
      <c r="E69" s="74">
        <f>C69-D69</f>
        <v>0</v>
      </c>
    </row>
    <row r="70" spans="1:5" ht="15" thickTop="1"/>
    <row r="71" spans="1:5">
      <c r="A71" s="7" t="str">
        <f>A24</f>
        <v>Sewer</v>
      </c>
      <c r="C71" s="80" t="s">
        <v>117</v>
      </c>
      <c r="D71" s="80" t="s">
        <v>118</v>
      </c>
    </row>
    <row r="72" spans="1:5">
      <c r="A72" s="76" t="s">
        <v>164</v>
      </c>
      <c r="C72" s="66">
        <f>IF('Lead Sheet'!G28&gt;0,'Lead Sheet'!G28,0)</f>
        <v>0</v>
      </c>
      <c r="D72" s="66">
        <f>IF('Lead Sheet'!G28&lt;0,-'Lead Sheet'!G28,0)</f>
        <v>26842</v>
      </c>
    </row>
    <row r="73" spans="1:5">
      <c r="A73" s="76" t="s">
        <v>166</v>
      </c>
      <c r="C73" s="66">
        <f>IF('Lead Sheet'!G29&gt;0,'Lead Sheet'!G29,0)</f>
        <v>12574</v>
      </c>
      <c r="D73" s="66">
        <f>IF('Lead Sheet'!G29&lt;0,-'Lead Sheet'!G29,0)</f>
        <v>0</v>
      </c>
    </row>
    <row r="74" spans="1:5">
      <c r="A74" s="76" t="s">
        <v>167</v>
      </c>
      <c r="C74" s="66">
        <f>IF('Lead Sheet'!G30&gt;0,'Lead Sheet'!G30,0)</f>
        <v>1396</v>
      </c>
      <c r="D74" s="66">
        <f>IF('Lead Sheet'!G30&lt;0,-'Lead Sheet'!G30,0)</f>
        <v>0</v>
      </c>
    </row>
    <row r="75" spans="1:5">
      <c r="A75" s="76" t="s">
        <v>162</v>
      </c>
      <c r="C75" s="66">
        <f>IF('Lead Sheet'!G31&gt;0,'Lead Sheet'!G31,0)</f>
        <v>12872</v>
      </c>
      <c r="D75" s="66">
        <f>IF('Lead Sheet'!G31&lt;0,-'Lead Sheet'!G31,0)</f>
        <v>0</v>
      </c>
    </row>
    <row r="76" spans="1:5">
      <c r="C76" s="64"/>
      <c r="D76" s="64"/>
    </row>
    <row r="77" spans="1:5" ht="15" thickBot="1">
      <c r="C77" s="73">
        <f>SUM(C72:C75)</f>
        <v>26842</v>
      </c>
      <c r="D77" s="73">
        <f>SUM(D72:D75)</f>
        <v>26842</v>
      </c>
      <c r="E77" s="74">
        <f>C77-D77</f>
        <v>0</v>
      </c>
    </row>
    <row r="78" spans="1:5" ht="15" thickTop="1"/>
    <row r="79" spans="1:5">
      <c r="A79" s="7" t="str">
        <f>A25</f>
        <v>Water</v>
      </c>
      <c r="C79" s="80" t="s">
        <v>117</v>
      </c>
      <c r="D79" s="80" t="s">
        <v>118</v>
      </c>
    </row>
    <row r="80" spans="1:5">
      <c r="A80" s="76" t="s">
        <v>164</v>
      </c>
      <c r="C80" s="66">
        <f>IF('Lead Sheet'!G34&gt;0,'Lead Sheet'!G34,0)</f>
        <v>0</v>
      </c>
      <c r="D80" s="66">
        <f>IF('Lead Sheet'!G34&lt;0,-'Lead Sheet'!G34,0)</f>
        <v>41082</v>
      </c>
    </row>
    <row r="81" spans="1:5">
      <c r="A81" s="76" t="s">
        <v>166</v>
      </c>
      <c r="C81" s="66">
        <f>IF('Lead Sheet'!G35&gt;0,'Lead Sheet'!G35,0)</f>
        <v>19244</v>
      </c>
      <c r="D81" s="66">
        <f>IF('Lead Sheet'!G35&lt;0,-'Lead Sheet'!G35,0)</f>
        <v>0</v>
      </c>
    </row>
    <row r="82" spans="1:5">
      <c r="A82" s="76" t="s">
        <v>167</v>
      </c>
      <c r="C82" s="66">
        <f>IF('Lead Sheet'!G36&gt;0,'Lead Sheet'!G36,0)</f>
        <v>2135</v>
      </c>
      <c r="D82" s="66">
        <f>IF('Lead Sheet'!G36&lt;0,-'Lead Sheet'!G36,0)</f>
        <v>0</v>
      </c>
    </row>
    <row r="83" spans="1:5">
      <c r="A83" s="76" t="s">
        <v>162</v>
      </c>
      <c r="C83" s="66">
        <f>IF('Lead Sheet'!G37&gt;0,'Lead Sheet'!G37,0)</f>
        <v>19703</v>
      </c>
      <c r="D83" s="66">
        <f>IF('Lead Sheet'!G37&lt;0,-'Lead Sheet'!G37,0)</f>
        <v>0</v>
      </c>
    </row>
    <row r="84" spans="1:5">
      <c r="C84" s="64"/>
      <c r="D84" s="64"/>
    </row>
    <row r="85" spans="1:5" ht="15" thickBot="1">
      <c r="C85" s="73">
        <f>SUM(C80:C83)</f>
        <v>41082</v>
      </c>
      <c r="D85" s="73">
        <f>SUM(D80:D83)</f>
        <v>41082</v>
      </c>
      <c r="E85" s="74">
        <f>C85-D85</f>
        <v>0</v>
      </c>
    </row>
    <row r="86" spans="1:5" ht="15" thickTop="1"/>
    <row r="87" spans="1:5">
      <c r="A87" s="7" t="str">
        <f>A26</f>
        <v>For additional enterprise funds</v>
      </c>
      <c r="C87" s="80" t="s">
        <v>117</v>
      </c>
      <c r="D87" s="80" t="s">
        <v>118</v>
      </c>
    </row>
    <row r="88" spans="1:5">
      <c r="A88" s="76" t="s">
        <v>164</v>
      </c>
      <c r="C88" s="66">
        <f>IF('Lead Sheet'!G40&gt;0,'Lead Sheet'!G40,0)</f>
        <v>0</v>
      </c>
      <c r="D88" s="66">
        <f>IF('Lead Sheet'!G40&lt;0,-'Lead Sheet'!G40,0)</f>
        <v>0</v>
      </c>
    </row>
    <row r="89" spans="1:5">
      <c r="A89" s="76" t="s">
        <v>166</v>
      </c>
      <c r="C89" s="66">
        <f>IF('Lead Sheet'!G41&gt;0,'Lead Sheet'!G41,0)</f>
        <v>0</v>
      </c>
      <c r="D89" s="66">
        <f>IF('Lead Sheet'!G41&lt;0,-'Lead Sheet'!G41,0)</f>
        <v>0</v>
      </c>
    </row>
    <row r="90" spans="1:5">
      <c r="A90" s="76" t="s">
        <v>167</v>
      </c>
      <c r="C90" s="66">
        <f>IF('Lead Sheet'!G42&gt;0,'Lead Sheet'!G42,0)</f>
        <v>0</v>
      </c>
      <c r="D90" s="66">
        <f>IF('Lead Sheet'!G42&lt;0,-'Lead Sheet'!G42,0)</f>
        <v>0</v>
      </c>
    </row>
    <row r="91" spans="1:5">
      <c r="A91" s="76" t="s">
        <v>162</v>
      </c>
      <c r="C91" s="66">
        <f>IF('Lead Sheet'!G43&gt;0,'Lead Sheet'!G43,0)</f>
        <v>0</v>
      </c>
      <c r="D91" s="66">
        <f>IF('Lead Sheet'!G43&lt;0,-'Lead Sheet'!G43,0)</f>
        <v>0</v>
      </c>
    </row>
    <row r="92" spans="1:5">
      <c r="C92" s="64"/>
      <c r="D92" s="64"/>
    </row>
    <row r="93" spans="1:5" ht="15" thickBot="1">
      <c r="C93" s="73">
        <f>SUM(C88:C91)</f>
        <v>0</v>
      </c>
      <c r="D93" s="73">
        <f>SUM(D88:D91)</f>
        <v>0</v>
      </c>
      <c r="E93" s="74">
        <f>C93-D93</f>
        <v>0</v>
      </c>
    </row>
    <row r="94" spans="1:5" ht="15" thickTop="1"/>
    <row r="95" spans="1:5">
      <c r="A95" s="7" t="s">
        <v>163</v>
      </c>
    </row>
    <row r="96" spans="1:5">
      <c r="C96" s="80" t="s">
        <v>117</v>
      </c>
      <c r="D96" s="80" t="s">
        <v>118</v>
      </c>
    </row>
    <row r="97" spans="1:5">
      <c r="A97" s="76" t="s">
        <v>161</v>
      </c>
      <c r="C97" s="66">
        <f>IF('Lead Sheet'!G10&gt;0,'Lead Sheet'!G10,0)</f>
        <v>0</v>
      </c>
      <c r="D97" s="66">
        <f>IF('Lead Sheet'!G10&lt;0,-'Lead Sheet'!G10,0)</f>
        <v>117676</v>
      </c>
    </row>
    <row r="98" spans="1:5">
      <c r="A98" s="76" t="s">
        <v>166</v>
      </c>
      <c r="C98" s="66">
        <f>IF('Lead Sheet'!G11&gt;0,'Lead Sheet'!G11,0)</f>
        <v>43435</v>
      </c>
      <c r="D98" s="66">
        <f>IF('Lead Sheet'!G11&lt;0,-'Lead Sheet'!G11,0)</f>
        <v>0</v>
      </c>
    </row>
    <row r="99" spans="1:5">
      <c r="A99" s="76" t="s">
        <v>167</v>
      </c>
      <c r="C99" s="66">
        <f>IF('Lead Sheet'!G12&gt;0,'Lead Sheet'!G12,0)</f>
        <v>43189</v>
      </c>
      <c r="D99" s="66">
        <f>IF('Lead Sheet'!G12&lt;0,-'Lead Sheet'!G12,0)</f>
        <v>0</v>
      </c>
    </row>
    <row r="100" spans="1:5">
      <c r="A100" s="76" t="s">
        <v>162</v>
      </c>
      <c r="C100" s="66">
        <f>IF('Lead Sheet'!G13&gt;0,'Lead Sheet'!G13,0)</f>
        <v>31052</v>
      </c>
      <c r="D100" s="66">
        <f>IF('Lead Sheet'!G13&lt;0,-'Lead Sheet'!G13,0)</f>
        <v>0</v>
      </c>
    </row>
    <row r="101" spans="1:5">
      <c r="A101" s="76"/>
      <c r="C101" s="78"/>
      <c r="D101" s="78"/>
    </row>
    <row r="102" spans="1:5" ht="15" thickBot="1">
      <c r="C102" s="79">
        <f>SUM(C97:C100)</f>
        <v>117676</v>
      </c>
      <c r="D102" s="79">
        <f>SUM(D97:D100)</f>
        <v>117676</v>
      </c>
      <c r="E102" s="74">
        <f>C102-D102</f>
        <v>0</v>
      </c>
    </row>
    <row r="103" spans="1:5" ht="15" thickTop="1"/>
  </sheetData>
  <pageMargins left="0.7" right="0.7" top="0.75" bottom="0.75" header="0.3" footer="0.3"/>
  <pageSetup scale="77"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P53"/>
  <sheetViews>
    <sheetView topLeftCell="A19" zoomScaleNormal="100" workbookViewId="0">
      <selection activeCell="C33" sqref="C33"/>
    </sheetView>
  </sheetViews>
  <sheetFormatPr defaultColWidth="9.109375" defaultRowHeight="13.8"/>
  <cols>
    <col min="1" max="1" width="41.44140625" style="47" customWidth="1"/>
    <col min="2" max="2" width="21.88671875" style="47" customWidth="1"/>
    <col min="3" max="3" width="19" style="47" customWidth="1"/>
    <col min="4" max="4" width="18.6640625" style="47" customWidth="1"/>
    <col min="5" max="5" width="9.5546875" style="215" hidden="1" customWidth="1"/>
    <col min="6" max="6" width="9.5546875" style="215" customWidth="1"/>
    <col min="7" max="7" width="10.6640625" style="47" bestFit="1" customWidth="1"/>
    <col min="8" max="8" width="9.109375" style="47"/>
    <col min="9" max="9" width="18" style="47" bestFit="1" customWidth="1"/>
    <col min="10" max="10" width="9.109375" style="47"/>
    <col min="11" max="11" width="27.5546875" style="47" customWidth="1"/>
    <col min="12" max="16384" width="9.109375" style="47"/>
  </cols>
  <sheetData>
    <row r="1" spans="1:8" ht="12.9" customHeight="1">
      <c r="A1" s="371" t="s">
        <v>132</v>
      </c>
      <c r="B1" s="371"/>
      <c r="C1" s="371"/>
      <c r="D1" s="371"/>
      <c r="E1" s="204"/>
      <c r="F1" s="204"/>
      <c r="H1" s="47" t="s">
        <v>301</v>
      </c>
    </row>
    <row r="2" spans="1:8" ht="12.9" customHeight="1">
      <c r="A2" s="371" t="s">
        <v>133</v>
      </c>
      <c r="B2" s="371"/>
      <c r="C2" s="371"/>
      <c r="D2" s="371"/>
      <c r="E2" s="204"/>
      <c r="F2" s="204"/>
      <c r="H2" s="266" t="s">
        <v>385</v>
      </c>
    </row>
    <row r="3" spans="1:8" ht="12.9" customHeight="1">
      <c r="A3" s="371" t="s">
        <v>265</v>
      </c>
      <c r="B3" s="371"/>
      <c r="C3" s="371"/>
      <c r="D3" s="371"/>
      <c r="E3" s="204"/>
      <c r="F3" s="204"/>
    </row>
    <row r="4" spans="1:8" ht="12.9" customHeight="1">
      <c r="A4" s="48"/>
      <c r="B4" s="48"/>
      <c r="C4" s="48"/>
      <c r="D4" s="48"/>
      <c r="E4" s="204"/>
      <c r="F4" s="204"/>
    </row>
    <row r="5" spans="1:8">
      <c r="A5" s="47" t="s">
        <v>134</v>
      </c>
      <c r="D5" s="119">
        <v>43646</v>
      </c>
      <c r="E5" s="205"/>
      <c r="F5" s="205"/>
    </row>
    <row r="6" spans="1:8">
      <c r="D6" s="49"/>
      <c r="E6" s="206"/>
      <c r="F6" s="206"/>
    </row>
    <row r="7" spans="1:8">
      <c r="A7" s="50" t="s">
        <v>48</v>
      </c>
      <c r="B7" s="50"/>
      <c r="D7" s="119">
        <v>43100</v>
      </c>
      <c r="E7" s="205"/>
      <c r="F7" s="205"/>
    </row>
    <row r="8" spans="1:8">
      <c r="A8" s="47" t="s">
        <v>49</v>
      </c>
      <c r="D8" s="153">
        <v>7.1999999999999995E-2</v>
      </c>
      <c r="E8" s="207"/>
      <c r="F8" s="207"/>
    </row>
    <row r="9" spans="1:8">
      <c r="A9" s="47" t="s">
        <v>135</v>
      </c>
      <c r="D9" s="154">
        <v>6.4690599999999994E-5</v>
      </c>
      <c r="E9" s="208"/>
      <c r="F9" s="208"/>
      <c r="G9" s="51">
        <f>D9-'From PERS'!A205</f>
        <v>0</v>
      </c>
    </row>
    <row r="10" spans="1:8">
      <c r="A10" s="47" t="s">
        <v>136</v>
      </c>
      <c r="D10" s="154">
        <v>8.5192599999999995E-5</v>
      </c>
      <c r="E10" s="208"/>
      <c r="F10" s="208"/>
      <c r="G10" s="51">
        <f>D10-'From PERS'!A206</f>
        <v>0</v>
      </c>
    </row>
    <row r="11" spans="1:8">
      <c r="D11" s="155"/>
      <c r="E11" s="209"/>
      <c r="F11" s="209"/>
      <c r="G11" s="52"/>
    </row>
    <row r="12" spans="1:8">
      <c r="A12" s="47" t="s">
        <v>137</v>
      </c>
      <c r="D12" s="183">
        <v>979977</v>
      </c>
      <c r="E12" s="210"/>
      <c r="F12" s="210"/>
      <c r="G12" s="51">
        <f>D12-'From PERS'!A207</f>
        <v>0</v>
      </c>
    </row>
    <row r="13" spans="1:8">
      <c r="A13" s="47" t="s">
        <v>138</v>
      </c>
      <c r="D13" s="183">
        <v>1473628</v>
      </c>
      <c r="E13" s="210"/>
      <c r="G13" s="51">
        <f>D13-'From PERS'!A208</f>
        <v>0</v>
      </c>
    </row>
    <row r="14" spans="1:8">
      <c r="A14" s="47" t="s">
        <v>139</v>
      </c>
      <c r="D14" s="183">
        <v>2359884</v>
      </c>
      <c r="E14" s="210"/>
      <c r="F14" s="210"/>
      <c r="G14" s="52"/>
    </row>
    <row r="15" spans="1:8">
      <c r="A15" s="47" t="s">
        <v>140</v>
      </c>
      <c r="D15" s="183">
        <v>731953</v>
      </c>
      <c r="E15" s="210"/>
      <c r="F15" s="210"/>
      <c r="G15" s="52"/>
    </row>
    <row r="16" spans="1:8">
      <c r="D16" s="183"/>
      <c r="E16" s="210"/>
      <c r="F16" s="210"/>
      <c r="G16" s="52"/>
    </row>
    <row r="17" spans="1:16">
      <c r="A17" s="47" t="s">
        <v>141</v>
      </c>
      <c r="D17" s="183"/>
      <c r="E17" s="210"/>
      <c r="F17" s="210"/>
      <c r="G17" s="52"/>
    </row>
    <row r="18" spans="1:16">
      <c r="A18" s="50" t="s">
        <v>260</v>
      </c>
      <c r="D18" s="183">
        <v>376859</v>
      </c>
      <c r="E18" s="210"/>
      <c r="F18" s="210"/>
      <c r="G18" s="51">
        <f>D18-'From PERS'!A223</f>
        <v>0</v>
      </c>
    </row>
    <row r="19" spans="1:16">
      <c r="A19" s="47" t="s">
        <v>142</v>
      </c>
      <c r="D19" s="183"/>
      <c r="E19" s="210"/>
      <c r="F19" s="210"/>
    </row>
    <row r="20" spans="1:16">
      <c r="A20" s="53" t="s">
        <v>357</v>
      </c>
      <c r="B20" s="53"/>
      <c r="C20" s="53"/>
      <c r="D20" s="183">
        <v>-1803</v>
      </c>
      <c r="E20" s="210"/>
      <c r="F20" s="210"/>
      <c r="G20" s="120"/>
    </row>
    <row r="21" spans="1:16" ht="60" customHeight="1">
      <c r="A21" s="373" t="s">
        <v>358</v>
      </c>
      <c r="B21" s="373"/>
      <c r="C21" s="54"/>
      <c r="D21" s="339">
        <v>33345</v>
      </c>
      <c r="E21" s="211"/>
      <c r="F21" s="211"/>
      <c r="G21" s="52"/>
    </row>
    <row r="22" spans="1:16">
      <c r="A22" s="50" t="s">
        <v>261</v>
      </c>
      <c r="D22" s="183">
        <f>SUM(D18:D21)</f>
        <v>408401</v>
      </c>
      <c r="E22" s="210"/>
      <c r="F22" s="210"/>
      <c r="G22" s="51">
        <f>D22-'From PERS'!A226</f>
        <v>0</v>
      </c>
    </row>
    <row r="23" spans="1:16">
      <c r="D23" s="55"/>
      <c r="E23" s="210"/>
      <c r="F23" s="210"/>
      <c r="G23" s="52"/>
    </row>
    <row r="24" spans="1:16">
      <c r="C24" s="56" t="s">
        <v>143</v>
      </c>
      <c r="D24" s="57" t="s">
        <v>144</v>
      </c>
      <c r="E24" s="212"/>
      <c r="F24" s="212"/>
      <c r="G24" s="52"/>
    </row>
    <row r="25" spans="1:16">
      <c r="C25" s="58" t="s">
        <v>50</v>
      </c>
      <c r="D25" s="59" t="s">
        <v>50</v>
      </c>
      <c r="E25" s="212"/>
      <c r="F25" s="212"/>
      <c r="G25" s="52"/>
    </row>
    <row r="26" spans="1:16" ht="27.6">
      <c r="A26" s="60" t="s">
        <v>145</v>
      </c>
      <c r="B26" s="60"/>
      <c r="C26" s="330">
        <v>81266</v>
      </c>
      <c r="D26" s="329">
        <v>0</v>
      </c>
      <c r="E26" s="213"/>
      <c r="F26" s="213"/>
      <c r="G26" s="52"/>
    </row>
    <row r="27" spans="1:16">
      <c r="A27" s="60" t="s">
        <v>146</v>
      </c>
      <c r="B27" s="60"/>
      <c r="C27" s="331">
        <v>199914</v>
      </c>
      <c r="D27" s="331">
        <v>0</v>
      </c>
      <c r="E27" s="202"/>
      <c r="F27" s="202"/>
      <c r="G27" s="52"/>
    </row>
    <row r="28" spans="1:16" ht="27.6">
      <c r="A28" s="60" t="s">
        <v>147</v>
      </c>
      <c r="B28" s="60"/>
      <c r="C28" s="331">
        <v>0</v>
      </c>
      <c r="D28" s="332">
        <v>41776</v>
      </c>
      <c r="E28" s="202"/>
      <c r="F28" s="202"/>
      <c r="G28" s="51">
        <f>D28-'From PERS'!A220</f>
        <v>0</v>
      </c>
    </row>
    <row r="29" spans="1:16">
      <c r="A29" s="61" t="s">
        <v>186</v>
      </c>
      <c r="B29" s="60"/>
      <c r="C29" s="331">
        <v>201896</v>
      </c>
      <c r="D29" s="331">
        <v>150137</v>
      </c>
      <c r="E29" s="202"/>
      <c r="F29" s="202"/>
      <c r="G29" s="51">
        <f>C29-'From PERS'!A216</f>
        <v>0</v>
      </c>
    </row>
    <row r="30" spans="1:16" ht="27.6">
      <c r="A30" s="61" t="s">
        <v>187</v>
      </c>
      <c r="B30" s="60"/>
      <c r="C30" s="331">
        <v>74514</v>
      </c>
      <c r="D30" s="331">
        <v>0</v>
      </c>
      <c r="E30" s="202"/>
      <c r="F30" s="202"/>
      <c r="G30" s="120"/>
    </row>
    <row r="31" spans="1:16">
      <c r="A31" s="61" t="s">
        <v>51</v>
      </c>
      <c r="B31" s="61"/>
      <c r="C31" s="333">
        <f>SUM(C26:C30)</f>
        <v>557590</v>
      </c>
      <c r="D31" s="333">
        <f>SUM(D26:D30)</f>
        <v>191913</v>
      </c>
      <c r="E31" s="202"/>
      <c r="F31" s="202"/>
      <c r="G31" s="52"/>
    </row>
    <row r="32" spans="1:16" ht="14.4">
      <c r="A32" s="60" t="s">
        <v>52</v>
      </c>
      <c r="B32" s="61"/>
      <c r="C32" s="334">
        <v>217341</v>
      </c>
      <c r="D32" s="329">
        <v>0</v>
      </c>
      <c r="E32" s="210"/>
      <c r="F32" s="210"/>
      <c r="G32" s="52"/>
      <c r="H32" s="346" t="s">
        <v>423</v>
      </c>
      <c r="I32" s="368"/>
      <c r="J32" s="368"/>
      <c r="K32" s="368"/>
      <c r="L32" s="368"/>
      <c r="M32" s="368"/>
      <c r="N32" s="368"/>
      <c r="O32" s="368"/>
      <c r="P32" s="368"/>
    </row>
    <row r="33" spans="1:11" ht="14.4">
      <c r="A33" s="60" t="s">
        <v>255</v>
      </c>
      <c r="B33" s="203"/>
      <c r="C33" s="335">
        <f>C31+C32</f>
        <v>774931</v>
      </c>
      <c r="D33" s="336">
        <f>SUM(D31:D32)</f>
        <v>191913</v>
      </c>
      <c r="E33" s="210"/>
      <c r="F33" s="202"/>
      <c r="H33" s="196"/>
      <c r="I33" s="75" t="s">
        <v>422</v>
      </c>
      <c r="J33" s="327"/>
      <c r="K33" s="327"/>
    </row>
    <row r="34" spans="1:11">
      <c r="A34" s="61" t="s">
        <v>263</v>
      </c>
      <c r="B34" s="60"/>
      <c r="C34" s="337"/>
      <c r="D34" s="338">
        <f>-D33+C33</f>
        <v>583018</v>
      </c>
      <c r="E34" s="214"/>
      <c r="F34" s="214"/>
      <c r="G34" s="52"/>
    </row>
    <row r="35" spans="1:11">
      <c r="D35" s="220"/>
      <c r="G35" s="52"/>
    </row>
    <row r="36" spans="1:11">
      <c r="A36" s="47" t="s">
        <v>148</v>
      </c>
      <c r="G36" s="52"/>
    </row>
    <row r="37" spans="1:11">
      <c r="A37" s="47" t="s">
        <v>149</v>
      </c>
      <c r="G37" s="52"/>
    </row>
    <row r="38" spans="1:11" ht="27.6">
      <c r="B38" s="60" t="s">
        <v>53</v>
      </c>
      <c r="C38" s="372" t="s">
        <v>262</v>
      </c>
      <c r="D38" s="372"/>
      <c r="E38" s="216"/>
      <c r="F38" s="216"/>
      <c r="G38" s="52"/>
      <c r="I38" s="60"/>
      <c r="J38" s="372"/>
      <c r="K38" s="372"/>
    </row>
    <row r="39" spans="1:11">
      <c r="B39" s="62" t="s">
        <v>150</v>
      </c>
      <c r="C39" s="370">
        <v>175466</v>
      </c>
      <c r="D39" s="370"/>
      <c r="E39" s="217"/>
      <c r="F39" s="217"/>
      <c r="G39" s="52"/>
      <c r="I39" s="60"/>
      <c r="J39" s="374"/>
      <c r="K39" s="374"/>
    </row>
    <row r="40" spans="1:11">
      <c r="B40" s="62" t="s">
        <v>236</v>
      </c>
      <c r="C40" s="370">
        <v>40879</v>
      </c>
      <c r="D40" s="370"/>
      <c r="E40" s="217"/>
      <c r="F40" s="217"/>
      <c r="G40" s="52"/>
      <c r="I40" s="60"/>
      <c r="J40" s="374"/>
      <c r="K40" s="374"/>
    </row>
    <row r="41" spans="1:11">
      <c r="B41" s="62" t="s">
        <v>237</v>
      </c>
      <c r="C41" s="370">
        <v>60513</v>
      </c>
      <c r="D41" s="370"/>
      <c r="E41" s="217"/>
      <c r="F41" s="217"/>
      <c r="G41" s="52"/>
      <c r="I41" s="60"/>
      <c r="J41" s="374"/>
      <c r="K41" s="374"/>
    </row>
    <row r="42" spans="1:11">
      <c r="B42" s="62" t="s">
        <v>151</v>
      </c>
      <c r="C42" s="370">
        <v>76651</v>
      </c>
      <c r="D42" s="370"/>
      <c r="E42" s="217"/>
      <c r="F42" s="217"/>
      <c r="G42" s="52"/>
      <c r="I42" s="60"/>
      <c r="J42" s="374"/>
      <c r="K42" s="374"/>
    </row>
    <row r="43" spans="1:11">
      <c r="B43" s="62" t="s">
        <v>152</v>
      </c>
      <c r="C43" s="370">
        <f>12169-1</f>
        <v>12168</v>
      </c>
      <c r="D43" s="370"/>
      <c r="E43" s="217"/>
      <c r="F43" s="217"/>
      <c r="G43" s="52"/>
      <c r="I43" s="60"/>
      <c r="J43" s="374"/>
      <c r="K43" s="374"/>
    </row>
    <row r="44" spans="1:11">
      <c r="B44" s="62" t="s">
        <v>153</v>
      </c>
      <c r="C44" s="370">
        <v>0</v>
      </c>
      <c r="D44" s="370"/>
      <c r="E44" s="217"/>
      <c r="F44" s="217"/>
      <c r="G44" s="52"/>
      <c r="I44" s="60"/>
      <c r="J44" s="374"/>
      <c r="K44" s="374"/>
    </row>
    <row r="45" spans="1:11">
      <c r="B45" s="62" t="s">
        <v>154</v>
      </c>
      <c r="C45" s="375">
        <f>SUM(C39:D44)</f>
        <v>365677</v>
      </c>
      <c r="D45" s="375"/>
      <c r="E45" s="217"/>
      <c r="F45" s="51">
        <f>C45-C31+D31</f>
        <v>0</v>
      </c>
      <c r="G45" s="52"/>
      <c r="I45" s="60"/>
      <c r="J45" s="374"/>
      <c r="K45" s="374"/>
    </row>
    <row r="47" spans="1:11">
      <c r="A47" s="328" t="s">
        <v>387</v>
      </c>
      <c r="B47" s="200"/>
      <c r="C47" s="200"/>
      <c r="D47" s="200"/>
      <c r="E47" s="218"/>
      <c r="F47" s="218"/>
    </row>
    <row r="48" spans="1:11">
      <c r="A48" s="200" t="s">
        <v>386</v>
      </c>
      <c r="B48" s="200"/>
      <c r="C48" s="200"/>
      <c r="D48" s="200"/>
      <c r="E48" s="218"/>
      <c r="F48" s="218"/>
    </row>
    <row r="53" spans="1:1">
      <c r="A53" s="200"/>
    </row>
  </sheetData>
  <mergeCells count="20">
    <mergeCell ref="J43:K43"/>
    <mergeCell ref="J44:K44"/>
    <mergeCell ref="J45:K45"/>
    <mergeCell ref="C41:D41"/>
    <mergeCell ref="C42:D42"/>
    <mergeCell ref="C45:D45"/>
    <mergeCell ref="C43:D43"/>
    <mergeCell ref="C44:D44"/>
    <mergeCell ref="J38:K38"/>
    <mergeCell ref="J39:K39"/>
    <mergeCell ref="J40:K40"/>
    <mergeCell ref="J41:K41"/>
    <mergeCell ref="J42:K42"/>
    <mergeCell ref="C40:D40"/>
    <mergeCell ref="A1:D1"/>
    <mergeCell ref="A2:D2"/>
    <mergeCell ref="A3:D3"/>
    <mergeCell ref="C38:D38"/>
    <mergeCell ref="C39:D39"/>
    <mergeCell ref="A21:B21"/>
  </mergeCells>
  <hyperlinks>
    <hyperlink ref="H32" r:id="rId1" xr:uid="{2429FA62-10F1-4A2F-98C7-AEE689602A82}"/>
    <hyperlink ref="H2" r:id="rId2" xr:uid="{8E30259F-14EA-42B0-BF79-199580C21B94}"/>
    <hyperlink ref="I33" r:id="rId3" xr:uid="{DA139F42-EC26-4373-A387-8E1596AEB404}"/>
  </hyperlinks>
  <pageMargins left="0.7" right="0.7" top="0.75" bottom="0.75" header="0.3" footer="0.3"/>
  <pageSetup scale="88" orientation="portrait" horizontalDpi="300" verticalDpi="300" r:id="rId4"/>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F467"/>
  <sheetViews>
    <sheetView zoomScale="130" zoomScaleNormal="130" workbookViewId="0">
      <selection activeCell="A78" sqref="A78"/>
    </sheetView>
  </sheetViews>
  <sheetFormatPr defaultRowHeight="14.4"/>
  <cols>
    <col min="1" max="1" width="26.5546875" bestFit="1" customWidth="1"/>
    <col min="2" max="2" width="114.109375" bestFit="1" customWidth="1"/>
    <col min="4" max="4" width="18.109375" customWidth="1"/>
    <col min="5" max="5" width="20.44140625" bestFit="1" customWidth="1"/>
    <col min="6" max="6" width="10.5546875" bestFit="1" customWidth="1"/>
  </cols>
  <sheetData>
    <row r="1" spans="1:5" s="1" customFormat="1">
      <c r="A1" s="1" t="s">
        <v>0</v>
      </c>
    </row>
    <row r="2" spans="1:5" s="1" customFormat="1" ht="15" thickBot="1">
      <c r="A2" s="18" t="s">
        <v>116</v>
      </c>
      <c r="B2" s="19"/>
    </row>
    <row r="3" spans="1:5" s="1" customFormat="1">
      <c r="A3" s="37" t="s">
        <v>229</v>
      </c>
      <c r="B3" s="20" t="s">
        <v>375</v>
      </c>
    </row>
    <row r="4" spans="1:5" s="1" customFormat="1">
      <c r="A4" s="136" t="s">
        <v>230</v>
      </c>
      <c r="B4" s="137"/>
      <c r="C4"/>
      <c r="D4" s="362"/>
      <c r="E4" s="364"/>
    </row>
    <row r="5" spans="1:5" s="1" customFormat="1">
      <c r="A5" s="282">
        <v>870674947</v>
      </c>
      <c r="B5" s="138" t="s">
        <v>231</v>
      </c>
      <c r="C5"/>
      <c r="E5" s="364"/>
    </row>
    <row r="6" spans="1:5" s="1" customFormat="1">
      <c r="A6" s="139" t="s">
        <v>374</v>
      </c>
      <c r="B6" s="138" t="s">
        <v>232</v>
      </c>
      <c r="C6"/>
      <c r="E6" s="364"/>
    </row>
    <row r="7" spans="1:5" s="1" customFormat="1">
      <c r="A7" s="143">
        <v>5</v>
      </c>
      <c r="B7" s="138" t="s">
        <v>233</v>
      </c>
      <c r="D7" s="363"/>
      <c r="E7" s="364"/>
    </row>
    <row r="8" spans="1:5" s="1" customFormat="1">
      <c r="A8" s="139">
        <v>174134989</v>
      </c>
      <c r="B8" s="138" t="s">
        <v>377</v>
      </c>
      <c r="E8" s="364"/>
    </row>
    <row r="9" spans="1:5" s="1" customFormat="1">
      <c r="A9" s="139">
        <v>0</v>
      </c>
      <c r="B9" s="138" t="s">
        <v>378</v>
      </c>
      <c r="D9" s="363"/>
      <c r="E9" s="364"/>
    </row>
    <row r="10" spans="1:5" s="1" customFormat="1">
      <c r="A10" s="139">
        <v>696539958</v>
      </c>
      <c r="B10" s="138" t="s">
        <v>379</v>
      </c>
      <c r="D10" s="363"/>
      <c r="E10" s="364"/>
    </row>
    <row r="11" spans="1:5" s="1" customFormat="1">
      <c r="A11" s="139">
        <v>174134989</v>
      </c>
      <c r="B11" s="138" t="s">
        <v>380</v>
      </c>
      <c r="D11" s="363"/>
      <c r="E11" s="364"/>
    </row>
    <row r="12" spans="1:5" s="1" customFormat="1">
      <c r="A12" s="139">
        <v>174134989</v>
      </c>
      <c r="B12" s="138" t="s">
        <v>381</v>
      </c>
      <c r="D12" s="363"/>
      <c r="E12" s="364"/>
    </row>
    <row r="13" spans="1:5" s="1" customFormat="1">
      <c r="A13" s="139">
        <v>174134989</v>
      </c>
      <c r="B13" s="138" t="s">
        <v>382</v>
      </c>
      <c r="D13" s="363"/>
      <c r="E13" s="364"/>
    </row>
    <row r="14" spans="1:5" s="1" customFormat="1">
      <c r="A14" s="139">
        <v>174134991</v>
      </c>
      <c r="B14" s="138" t="s">
        <v>383</v>
      </c>
      <c r="E14" s="364"/>
    </row>
    <row r="15" spans="1:5" s="1" customFormat="1">
      <c r="A15" s="140">
        <v>0</v>
      </c>
      <c r="B15" s="138" t="s">
        <v>384</v>
      </c>
      <c r="E15" s="364"/>
    </row>
    <row r="16" spans="1:5" s="1" customFormat="1">
      <c r="A16" s="140">
        <v>0</v>
      </c>
      <c r="B16" s="138" t="s">
        <v>234</v>
      </c>
    </row>
    <row r="17" spans="1:3" s="1" customFormat="1">
      <c r="A17" s="140"/>
      <c r="B17" s="138"/>
    </row>
    <row r="18" spans="1:3" s="1" customFormat="1">
      <c r="A18" s="140"/>
      <c r="B18" s="138"/>
    </row>
    <row r="19" spans="1:3" s="1" customFormat="1">
      <c r="A19" s="282">
        <v>-1390801037</v>
      </c>
      <c r="B19" s="138" t="s">
        <v>231</v>
      </c>
      <c r="C19"/>
    </row>
    <row r="20" spans="1:3" s="1" customFormat="1">
      <c r="A20" s="139" t="s">
        <v>359</v>
      </c>
      <c r="B20" s="138" t="s">
        <v>232</v>
      </c>
      <c r="C20"/>
    </row>
    <row r="21" spans="1:3" s="1" customFormat="1">
      <c r="A21" s="143">
        <v>5</v>
      </c>
      <c r="B21" s="138" t="s">
        <v>233</v>
      </c>
    </row>
    <row r="22" spans="1:3" s="1" customFormat="1">
      <c r="A22" s="139">
        <v>-278160207</v>
      </c>
      <c r="B22" s="138" t="str">
        <f>B8</f>
        <v>Amount Recognized in 6/30/2019 Expense</v>
      </c>
    </row>
    <row r="23" spans="1:3" s="1" customFormat="1">
      <c r="A23" s="139">
        <v>-834480623</v>
      </c>
      <c r="B23" s="138" t="str">
        <f>$B$9</f>
        <v>Balance of deferred (inflows) 6/30/2019.</v>
      </c>
    </row>
    <row r="24" spans="1:3" s="1" customFormat="1">
      <c r="A24" s="139">
        <v>0</v>
      </c>
      <c r="B24" s="138" t="str">
        <f>$B$10</f>
        <v>Balance of Deferred outflows 6/30/2019</v>
      </c>
    </row>
    <row r="25" spans="1:3" s="1" customFormat="1">
      <c r="A25" s="139">
        <v>-278160207</v>
      </c>
      <c r="B25" s="138" t="str">
        <f>$B$11</f>
        <v>Amount Recognized in 6/30/2020 Expense</v>
      </c>
    </row>
    <row r="26" spans="1:3" s="1" customFormat="1">
      <c r="A26" s="139">
        <v>-278160207</v>
      </c>
      <c r="B26" s="138" t="str">
        <f>$B$12</f>
        <v>Amount Recognized in 6/30/2021 Expense</v>
      </c>
    </row>
    <row r="27" spans="1:3" s="1" customFormat="1">
      <c r="A27" s="139">
        <v>-278160209</v>
      </c>
      <c r="B27" s="138" t="str">
        <f>$B$13</f>
        <v>Amount Recognized in 6/30/2022 Expense</v>
      </c>
    </row>
    <row r="28" spans="1:3" s="1" customFormat="1">
      <c r="A28" s="139">
        <v>0</v>
      </c>
      <c r="B28" s="138" t="str">
        <f>$B$14</f>
        <v>Amount Recognized in 6/30/2023 Expense</v>
      </c>
    </row>
    <row r="29" spans="1:3" s="1" customFormat="1">
      <c r="A29" s="140">
        <v>0</v>
      </c>
      <c r="B29" s="138" t="str">
        <f>$B$15</f>
        <v>Amount Recognized in 6/30/2024 Expense</v>
      </c>
    </row>
    <row r="30" spans="1:3" s="1" customFormat="1">
      <c r="A30" s="140">
        <v>0</v>
      </c>
      <c r="B30" s="138" t="str">
        <f>$B$16</f>
        <v>Amount Recognized thereafter in Expense</v>
      </c>
    </row>
    <row r="31" spans="1:3" s="1" customFormat="1">
      <c r="A31" s="140"/>
      <c r="B31" s="138"/>
    </row>
    <row r="32" spans="1:3" s="1" customFormat="1">
      <c r="A32" s="140"/>
      <c r="B32" s="138"/>
    </row>
    <row r="33" spans="1:3" s="1" customFormat="1">
      <c r="A33" s="282">
        <v>-3128006660</v>
      </c>
      <c r="B33" s="138" t="s">
        <v>231</v>
      </c>
      <c r="C33"/>
    </row>
    <row r="34" spans="1:3" s="1" customFormat="1">
      <c r="A34" s="139" t="s">
        <v>319</v>
      </c>
      <c r="B34" s="138" t="s">
        <v>232</v>
      </c>
      <c r="C34"/>
    </row>
    <row r="35" spans="1:3" s="1" customFormat="1">
      <c r="A35" s="143">
        <v>5</v>
      </c>
      <c r="B35" s="138" t="s">
        <v>233</v>
      </c>
    </row>
    <row r="36" spans="1:3" s="1" customFormat="1">
      <c r="A36" s="139">
        <v>-625601332</v>
      </c>
      <c r="B36" s="138" t="str">
        <f>$B$22</f>
        <v>Amount Recognized in 6/30/2019 Expense</v>
      </c>
    </row>
    <row r="37" spans="1:3" s="1" customFormat="1">
      <c r="A37" s="139">
        <v>-1251202664</v>
      </c>
      <c r="B37" s="138" t="str">
        <f>$B$9</f>
        <v>Balance of deferred (inflows) 6/30/2019.</v>
      </c>
    </row>
    <row r="38" spans="1:3" s="1" customFormat="1">
      <c r="A38" s="139">
        <v>0</v>
      </c>
      <c r="B38" s="138" t="str">
        <f>$B$10</f>
        <v>Balance of Deferred outflows 6/30/2019</v>
      </c>
    </row>
    <row r="39" spans="1:3" s="1" customFormat="1">
      <c r="A39" s="139">
        <v>-625601332</v>
      </c>
      <c r="B39" s="138" t="str">
        <f>$B$11</f>
        <v>Amount Recognized in 6/30/2020 Expense</v>
      </c>
    </row>
    <row r="40" spans="1:3" s="1" customFormat="1">
      <c r="A40" s="139">
        <v>-625601332</v>
      </c>
      <c r="B40" s="138" t="str">
        <f>$B$12</f>
        <v>Amount Recognized in 6/30/2021 Expense</v>
      </c>
    </row>
    <row r="41" spans="1:3" s="1" customFormat="1">
      <c r="A41" s="139">
        <v>0</v>
      </c>
      <c r="B41" s="138" t="str">
        <f>$B$13</f>
        <v>Amount Recognized in 6/30/2022 Expense</v>
      </c>
    </row>
    <row r="42" spans="1:3" s="1" customFormat="1">
      <c r="A42" s="139">
        <v>0</v>
      </c>
      <c r="B42" s="138" t="str">
        <f>$B$14</f>
        <v>Amount Recognized in 6/30/2023 Expense</v>
      </c>
    </row>
    <row r="43" spans="1:3" s="1" customFormat="1">
      <c r="A43" s="140">
        <v>0</v>
      </c>
      <c r="B43" s="138" t="str">
        <f>$B$15</f>
        <v>Amount Recognized in 6/30/2024 Expense</v>
      </c>
    </row>
    <row r="44" spans="1:3" s="1" customFormat="1">
      <c r="A44" s="140">
        <v>0</v>
      </c>
      <c r="B44" s="138" t="str">
        <f>$B$16</f>
        <v>Amount Recognized thereafter in Expense</v>
      </c>
    </row>
    <row r="45" spans="1:3" s="1" customFormat="1">
      <c r="A45" s="140"/>
      <c r="B45" s="138"/>
    </row>
    <row r="46" spans="1:3" s="1" customFormat="1">
      <c r="A46" s="140"/>
      <c r="B46" s="138"/>
    </row>
    <row r="47" spans="1:3" s="1" customFormat="1">
      <c r="A47" s="321">
        <v>4493869006</v>
      </c>
      <c r="B47" s="138" t="s">
        <v>231</v>
      </c>
      <c r="C47"/>
    </row>
    <row r="48" spans="1:3" s="1" customFormat="1">
      <c r="A48" s="139" t="s">
        <v>293</v>
      </c>
      <c r="B48" s="138" t="s">
        <v>232</v>
      </c>
      <c r="C48"/>
    </row>
    <row r="49" spans="1:2" s="1" customFormat="1">
      <c r="A49" s="143">
        <v>5</v>
      </c>
      <c r="B49" s="138" t="s">
        <v>233</v>
      </c>
    </row>
    <row r="50" spans="1:2" s="1" customFormat="1">
      <c r="A50" s="139">
        <v>898773801</v>
      </c>
      <c r="B50" s="138" t="str">
        <f>$B$22</f>
        <v>Amount Recognized in 6/30/2019 Expense</v>
      </c>
    </row>
    <row r="51" spans="1:2" s="1" customFormat="1">
      <c r="A51" s="139">
        <v>0</v>
      </c>
      <c r="B51" s="138" t="str">
        <f>$B$9</f>
        <v>Balance of deferred (inflows) 6/30/2019.</v>
      </c>
    </row>
    <row r="52" spans="1:2" s="1" customFormat="1">
      <c r="A52" s="139">
        <v>898773802</v>
      </c>
      <c r="B52" s="138" t="str">
        <f>$B$10</f>
        <v>Balance of Deferred outflows 6/30/2019</v>
      </c>
    </row>
    <row r="53" spans="1:2" s="1" customFormat="1">
      <c r="A53" s="139">
        <v>898773802</v>
      </c>
      <c r="B53" s="138" t="str">
        <f>$B$11</f>
        <v>Amount Recognized in 6/30/2020 Expense</v>
      </c>
    </row>
    <row r="54" spans="1:2" s="1" customFormat="1">
      <c r="A54" s="139">
        <v>0</v>
      </c>
      <c r="B54" s="138" t="str">
        <f>$B$12</f>
        <v>Amount Recognized in 6/30/2021 Expense</v>
      </c>
    </row>
    <row r="55" spans="1:2" s="1" customFormat="1">
      <c r="A55" s="139">
        <v>0</v>
      </c>
      <c r="B55" s="138" t="str">
        <f>$B$13</f>
        <v>Amount Recognized in 6/30/2022 Expense</v>
      </c>
    </row>
    <row r="56" spans="1:2" s="1" customFormat="1">
      <c r="A56" s="139">
        <v>0</v>
      </c>
      <c r="B56" s="138" t="str">
        <f>$B$14</f>
        <v>Amount Recognized in 6/30/2023 Expense</v>
      </c>
    </row>
    <row r="57" spans="1:2" s="1" customFormat="1">
      <c r="A57" s="140">
        <v>0</v>
      </c>
      <c r="B57" s="138" t="str">
        <f>$B$15</f>
        <v>Amount Recognized in 6/30/2024 Expense</v>
      </c>
    </row>
    <row r="58" spans="1:2" s="1" customFormat="1">
      <c r="A58" s="140">
        <v>0</v>
      </c>
      <c r="B58" s="138" t="str">
        <f>$B$16</f>
        <v>Amount Recognized thereafter in Expense</v>
      </c>
    </row>
    <row r="59" spans="1:2" s="1" customFormat="1">
      <c r="A59" s="140"/>
      <c r="B59" s="138"/>
    </row>
    <row r="60" spans="1:2" s="1" customFormat="1">
      <c r="A60" s="140"/>
      <c r="B60" s="138"/>
    </row>
    <row r="61" spans="1:2" s="1" customFormat="1">
      <c r="A61" s="321">
        <v>2596050493</v>
      </c>
      <c r="B61" s="138" t="s">
        <v>231</v>
      </c>
    </row>
    <row r="62" spans="1:2" s="1" customFormat="1">
      <c r="A62" s="139" t="s">
        <v>235</v>
      </c>
      <c r="B62" s="138" t="s">
        <v>232</v>
      </c>
    </row>
    <row r="63" spans="1:2" s="1" customFormat="1">
      <c r="A63" s="143">
        <v>5</v>
      </c>
      <c r="B63" s="138" t="s">
        <v>233</v>
      </c>
    </row>
    <row r="64" spans="1:2" s="1" customFormat="1">
      <c r="A64" s="139">
        <v>519210097</v>
      </c>
      <c r="B64" s="138" t="str">
        <f>$B$22</f>
        <v>Amount Recognized in 6/30/2019 Expense</v>
      </c>
    </row>
    <row r="65" spans="1:2" s="1" customFormat="1">
      <c r="A65" s="139">
        <v>0</v>
      </c>
      <c r="B65" s="138" t="str">
        <f>$B$9</f>
        <v>Balance of deferred (inflows) 6/30/2019.</v>
      </c>
    </row>
    <row r="66" spans="1:2" s="1" customFormat="1">
      <c r="A66" s="139">
        <v>0</v>
      </c>
      <c r="B66" s="138" t="str">
        <f>$B$10</f>
        <v>Balance of Deferred outflows 6/30/2019</v>
      </c>
    </row>
    <row r="67" spans="1:2" s="1" customFormat="1">
      <c r="A67" s="139">
        <v>0</v>
      </c>
      <c r="B67" s="138" t="str">
        <f>$B$11</f>
        <v>Amount Recognized in 6/30/2020 Expense</v>
      </c>
    </row>
    <row r="68" spans="1:2" s="1" customFormat="1">
      <c r="A68" s="139">
        <v>0</v>
      </c>
      <c r="B68" s="138" t="str">
        <f>$B$12</f>
        <v>Amount Recognized in 6/30/2021 Expense</v>
      </c>
    </row>
    <row r="69" spans="1:2" s="1" customFormat="1">
      <c r="A69" s="139">
        <v>0</v>
      </c>
      <c r="B69" s="138" t="str">
        <f>$B$13</f>
        <v>Amount Recognized in 6/30/2022 Expense</v>
      </c>
    </row>
    <row r="70" spans="1:2" s="1" customFormat="1">
      <c r="A70" s="139">
        <v>0</v>
      </c>
      <c r="B70" s="138" t="str">
        <f>$B$14</f>
        <v>Amount Recognized in 6/30/2023 Expense</v>
      </c>
    </row>
    <row r="71" spans="1:2" s="1" customFormat="1">
      <c r="A71" s="140">
        <v>0</v>
      </c>
      <c r="B71" s="138" t="str">
        <f>$B$15</f>
        <v>Amount Recognized in 6/30/2024 Expense</v>
      </c>
    </row>
    <row r="72" spans="1:2" s="1" customFormat="1">
      <c r="A72" s="140">
        <v>0</v>
      </c>
      <c r="B72" s="138" t="str">
        <f>$B$16</f>
        <v>Amount Recognized thereafter in Expense</v>
      </c>
    </row>
    <row r="73" spans="1:2" s="1" customFormat="1">
      <c r="A73" s="140"/>
      <c r="B73" s="138"/>
    </row>
    <row r="74" spans="1:2" s="1" customFormat="1">
      <c r="A74" s="140"/>
      <c r="B74" s="138"/>
    </row>
    <row r="75" spans="1:2" s="1" customFormat="1">
      <c r="A75" s="136" t="s">
        <v>321</v>
      </c>
      <c r="B75" s="138"/>
    </row>
    <row r="76" spans="1:2" s="1" customFormat="1">
      <c r="A76" s="257">
        <v>804157064</v>
      </c>
      <c r="B76" s="138" t="s">
        <v>231</v>
      </c>
    </row>
    <row r="77" spans="1:2" s="1" customFormat="1">
      <c r="A77" s="140" t="s">
        <v>374</v>
      </c>
      <c r="B77" s="138" t="s">
        <v>232</v>
      </c>
    </row>
    <row r="78" spans="1:2" s="1" customFormat="1">
      <c r="A78" s="242">
        <v>5.2</v>
      </c>
      <c r="B78" s="138" t="s">
        <v>233</v>
      </c>
    </row>
    <row r="79" spans="1:2" s="1" customFormat="1">
      <c r="A79" s="140">
        <v>154645589</v>
      </c>
      <c r="B79" s="138" t="str">
        <f>$B$22</f>
        <v>Amount Recognized in 6/30/2019 Expense</v>
      </c>
    </row>
    <row r="80" spans="1:2" s="1" customFormat="1">
      <c r="A80" s="140">
        <v>0</v>
      </c>
      <c r="B80" s="138" t="str">
        <f>$B$9</f>
        <v>Balance of deferred (inflows) 6/30/2019.</v>
      </c>
    </row>
    <row r="81" spans="1:2" s="1" customFormat="1">
      <c r="A81" s="140">
        <v>649511475</v>
      </c>
      <c r="B81" s="138" t="str">
        <f>$B$10</f>
        <v>Balance of Deferred outflows 6/30/2019</v>
      </c>
    </row>
    <row r="82" spans="1:2" s="1" customFormat="1">
      <c r="A82" s="140">
        <v>154645589</v>
      </c>
      <c r="B82" s="138" t="str">
        <f>$B$11</f>
        <v>Amount Recognized in 6/30/2020 Expense</v>
      </c>
    </row>
    <row r="83" spans="1:2" s="1" customFormat="1">
      <c r="A83" s="140">
        <v>154645589</v>
      </c>
      <c r="B83" s="138" t="str">
        <f>$B$12</f>
        <v>Amount Recognized in 6/30/2021 Expense</v>
      </c>
    </row>
    <row r="84" spans="1:2" s="1" customFormat="1">
      <c r="A84" s="140">
        <v>154645589</v>
      </c>
      <c r="B84" s="138" t="str">
        <f>$B$13</f>
        <v>Amount Recognized in 6/30/2022 Expense</v>
      </c>
    </row>
    <row r="85" spans="1:2" s="1" customFormat="1">
      <c r="A85" s="140">
        <v>154645589</v>
      </c>
      <c r="B85" s="138" t="str">
        <f>$B$14</f>
        <v>Amount Recognized in 6/30/2023 Expense</v>
      </c>
    </row>
    <row r="86" spans="1:2" s="1" customFormat="1">
      <c r="A86" s="140">
        <v>30929119</v>
      </c>
      <c r="B86" s="138" t="str">
        <f>$B$15</f>
        <v>Amount Recognized in 6/30/2024 Expense</v>
      </c>
    </row>
    <row r="87" spans="1:2" s="1" customFormat="1">
      <c r="A87" s="140">
        <v>0</v>
      </c>
      <c r="B87" s="138" t="str">
        <f>$B$16</f>
        <v>Amount Recognized thereafter in Expense</v>
      </c>
    </row>
    <row r="88" spans="1:2" s="1" customFormat="1">
      <c r="A88" s="140"/>
      <c r="B88" s="281"/>
    </row>
    <row r="89" spans="1:2" s="1" customFormat="1">
      <c r="A89" s="159"/>
      <c r="B89" s="138"/>
    </row>
    <row r="90" spans="1:2" s="1" customFormat="1">
      <c r="A90" s="257">
        <v>74324981</v>
      </c>
      <c r="B90" s="138" t="s">
        <v>231</v>
      </c>
    </row>
    <row r="91" spans="1:2" s="1" customFormat="1">
      <c r="A91" s="140" t="s">
        <v>359</v>
      </c>
      <c r="B91" s="138" t="s">
        <v>232</v>
      </c>
    </row>
    <row r="92" spans="1:2" s="1" customFormat="1">
      <c r="A92" s="242">
        <v>5.2</v>
      </c>
      <c r="B92" s="138" t="s">
        <v>233</v>
      </c>
    </row>
    <row r="93" spans="1:2" s="1" customFormat="1">
      <c r="A93" s="140">
        <v>14293266</v>
      </c>
      <c r="B93" s="138" t="str">
        <f>$B$22</f>
        <v>Amount Recognized in 6/30/2019 Expense</v>
      </c>
    </row>
    <row r="94" spans="1:2" s="1" customFormat="1">
      <c r="A94" s="140">
        <v>0</v>
      </c>
      <c r="B94" s="138" t="str">
        <f>$B$9</f>
        <v>Balance of deferred (inflows) 6/30/2019.</v>
      </c>
    </row>
    <row r="95" spans="1:2" s="1" customFormat="1">
      <c r="A95" s="140">
        <v>45738449</v>
      </c>
      <c r="B95" s="138" t="str">
        <f>$B$10</f>
        <v>Balance of Deferred outflows 6/30/2019</v>
      </c>
    </row>
    <row r="96" spans="1:2" s="1" customFormat="1">
      <c r="A96" s="140">
        <v>14293266</v>
      </c>
      <c r="B96" s="138" t="str">
        <f>$B$11</f>
        <v>Amount Recognized in 6/30/2020 Expense</v>
      </c>
    </row>
    <row r="97" spans="1:2" s="1" customFormat="1">
      <c r="A97" s="140">
        <v>14293266</v>
      </c>
      <c r="B97" s="138" t="str">
        <f>$B$12</f>
        <v>Amount Recognized in 6/30/2021 Expense</v>
      </c>
    </row>
    <row r="98" spans="1:2" s="1" customFormat="1">
      <c r="A98" s="140">
        <v>14293266</v>
      </c>
      <c r="B98" s="138" t="str">
        <f>$B$13</f>
        <v>Amount Recognized in 6/30/2022 Expense</v>
      </c>
    </row>
    <row r="99" spans="1:2" s="1" customFormat="1">
      <c r="A99" s="140">
        <v>2858651</v>
      </c>
      <c r="B99" s="138" t="str">
        <f>$B$14</f>
        <v>Amount Recognized in 6/30/2023 Expense</v>
      </c>
    </row>
    <row r="100" spans="1:2" s="1" customFormat="1">
      <c r="A100" s="140">
        <v>0</v>
      </c>
      <c r="B100" s="138" t="str">
        <f>$B$15</f>
        <v>Amount Recognized in 6/30/2024 Expense</v>
      </c>
    </row>
    <row r="101" spans="1:2" s="1" customFormat="1">
      <c r="A101" s="140">
        <v>0</v>
      </c>
      <c r="B101" s="138" t="str">
        <f>$B$16</f>
        <v>Amount Recognized thereafter in Expense</v>
      </c>
    </row>
    <row r="102" spans="1:2" s="1" customFormat="1">
      <c r="A102" s="140"/>
      <c r="B102" s="281"/>
    </row>
    <row r="103" spans="1:2" s="1" customFormat="1">
      <c r="A103" s="159"/>
      <c r="B103" s="138"/>
    </row>
    <row r="104" spans="1:2" s="1" customFormat="1">
      <c r="A104" s="257">
        <v>351846323</v>
      </c>
      <c r="B104" s="138" t="s">
        <v>231</v>
      </c>
    </row>
    <row r="105" spans="1:2" s="1" customFormat="1">
      <c r="A105" s="140" t="s">
        <v>319</v>
      </c>
      <c r="B105" s="138" t="s">
        <v>232</v>
      </c>
    </row>
    <row r="106" spans="1:2" s="1" customFormat="1">
      <c r="A106" s="242">
        <v>5.3</v>
      </c>
      <c r="B106" s="138" t="s">
        <v>233</v>
      </c>
    </row>
    <row r="107" spans="1:2" s="1" customFormat="1">
      <c r="A107" s="140">
        <v>66386099</v>
      </c>
      <c r="B107" s="138" t="str">
        <f>$B$22</f>
        <v>Amount Recognized in 6/30/2019 Expense</v>
      </c>
    </row>
    <row r="108" spans="1:2" s="1" customFormat="1">
      <c r="A108" s="140">
        <v>0</v>
      </c>
      <c r="B108" s="138" t="str">
        <f>$B$9</f>
        <v>Balance of deferred (inflows) 6/30/2019.</v>
      </c>
    </row>
    <row r="109" spans="1:2" s="1" customFormat="1">
      <c r="A109" s="140">
        <v>152688026</v>
      </c>
      <c r="B109" s="138" t="str">
        <f>$B$10</f>
        <v>Balance of Deferred outflows 6/30/2019</v>
      </c>
    </row>
    <row r="110" spans="1:2" s="1" customFormat="1">
      <c r="A110" s="140">
        <v>66386099</v>
      </c>
      <c r="B110" s="138" t="str">
        <f>$B$11</f>
        <v>Amount Recognized in 6/30/2020 Expense</v>
      </c>
    </row>
    <row r="111" spans="1:2" s="1" customFormat="1">
      <c r="A111" s="140">
        <v>66386099</v>
      </c>
      <c r="B111" s="138" t="str">
        <f>$B$12</f>
        <v>Amount Recognized in 6/30/2021 Expense</v>
      </c>
    </row>
    <row r="112" spans="1:2" s="1" customFormat="1">
      <c r="A112" s="140">
        <v>19915828</v>
      </c>
      <c r="B112" s="138" t="str">
        <f>$B$13</f>
        <v>Amount Recognized in 6/30/2022 Expense</v>
      </c>
    </row>
    <row r="113" spans="1:2" s="1" customFormat="1">
      <c r="A113" s="140">
        <v>0</v>
      </c>
      <c r="B113" s="138" t="str">
        <f>$B$14</f>
        <v>Amount Recognized in 6/30/2023 Expense</v>
      </c>
    </row>
    <row r="114" spans="1:2" s="1" customFormat="1">
      <c r="A114" s="140">
        <v>0</v>
      </c>
      <c r="B114" s="138" t="str">
        <f>$B$15</f>
        <v>Amount Recognized in 6/30/2024 Expense</v>
      </c>
    </row>
    <row r="115" spans="1:2" s="1" customFormat="1">
      <c r="A115" s="140">
        <v>0</v>
      </c>
      <c r="B115" s="138" t="str">
        <f>$B$16</f>
        <v>Amount Recognized thereafter in Expense</v>
      </c>
    </row>
    <row r="116" spans="1:2" s="1" customFormat="1">
      <c r="A116" s="140"/>
      <c r="B116" s="281"/>
    </row>
    <row r="117" spans="1:2" s="1" customFormat="1">
      <c r="A117" s="159"/>
      <c r="B117" s="138"/>
    </row>
    <row r="118" spans="1:2" s="1" customFormat="1">
      <c r="A118" s="257">
        <v>317297639</v>
      </c>
      <c r="B118" s="138" t="s">
        <v>231</v>
      </c>
    </row>
    <row r="119" spans="1:2" s="1" customFormat="1">
      <c r="A119" s="140" t="s">
        <v>293</v>
      </c>
      <c r="B119" s="138" t="s">
        <v>232</v>
      </c>
    </row>
    <row r="120" spans="1:2" s="1" customFormat="1">
      <c r="A120" s="242">
        <v>5.3</v>
      </c>
      <c r="B120" s="138" t="s">
        <v>233</v>
      </c>
    </row>
    <row r="121" spans="1:2" s="1" customFormat="1">
      <c r="A121" s="140">
        <v>59867479</v>
      </c>
      <c r="B121" s="138" t="str">
        <f>$B$22</f>
        <v>Amount Recognized in 6/30/2019 Expense</v>
      </c>
    </row>
    <row r="122" spans="1:2" s="1" customFormat="1">
      <c r="A122" s="140">
        <v>0</v>
      </c>
      <c r="B122" s="138" t="str">
        <f>$B$9</f>
        <v>Balance of deferred (inflows) 6/30/2019.</v>
      </c>
    </row>
    <row r="123" spans="1:2" s="1" customFormat="1">
      <c r="A123" s="140">
        <v>77827723</v>
      </c>
      <c r="B123" s="138" t="str">
        <f>$B$10</f>
        <v>Balance of Deferred outflows 6/30/2019</v>
      </c>
    </row>
    <row r="124" spans="1:2" s="1" customFormat="1">
      <c r="A124" s="140">
        <v>59867479</v>
      </c>
      <c r="B124" s="138" t="str">
        <f>$B$11</f>
        <v>Amount Recognized in 6/30/2020 Expense</v>
      </c>
    </row>
    <row r="125" spans="1:2" s="1" customFormat="1">
      <c r="A125" s="140">
        <v>17960244</v>
      </c>
      <c r="B125" s="138" t="str">
        <f>$B$12</f>
        <v>Amount Recognized in 6/30/2021 Expense</v>
      </c>
    </row>
    <row r="126" spans="1:2" s="1" customFormat="1">
      <c r="A126" s="140">
        <v>0</v>
      </c>
      <c r="B126" s="138" t="str">
        <f>$B$13</f>
        <v>Amount Recognized in 6/30/2022 Expense</v>
      </c>
    </row>
    <row r="127" spans="1:2" s="1" customFormat="1">
      <c r="A127" s="140">
        <v>0</v>
      </c>
      <c r="B127" s="138" t="str">
        <f>$B$14</f>
        <v>Amount Recognized in 6/30/2023 Expense</v>
      </c>
    </row>
    <row r="128" spans="1:2" s="1" customFormat="1">
      <c r="A128" s="140">
        <v>0</v>
      </c>
      <c r="B128" s="138" t="str">
        <f>$B$15</f>
        <v>Amount Recognized in 6/30/2024 Expense</v>
      </c>
    </row>
    <row r="129" spans="1:2" s="1" customFormat="1">
      <c r="A129" s="140">
        <v>0</v>
      </c>
      <c r="B129" s="138" t="str">
        <f>$B$16</f>
        <v>Amount Recognized thereafter in Expense</v>
      </c>
    </row>
    <row r="130" spans="1:2" s="1" customFormat="1">
      <c r="A130" s="140"/>
      <c r="B130" s="138"/>
    </row>
    <row r="131" spans="1:2" s="1" customFormat="1">
      <c r="A131" s="159"/>
      <c r="B131" s="138"/>
    </row>
    <row r="132" spans="1:2" s="1" customFormat="1">
      <c r="A132" s="257">
        <v>379974263</v>
      </c>
      <c r="B132" s="138" t="s">
        <v>231</v>
      </c>
    </row>
    <row r="133" spans="1:2" s="1" customFormat="1">
      <c r="A133" s="140" t="s">
        <v>235</v>
      </c>
      <c r="B133" s="138" t="s">
        <v>232</v>
      </c>
    </row>
    <row r="134" spans="1:2" s="1" customFormat="1">
      <c r="A134" s="242">
        <v>5.4</v>
      </c>
      <c r="B134" s="138" t="s">
        <v>233</v>
      </c>
    </row>
    <row r="135" spans="1:2" s="1" customFormat="1">
      <c r="A135" s="140">
        <v>70365604</v>
      </c>
      <c r="B135" s="138" t="str">
        <f>$B$22</f>
        <v>Amount Recognized in 6/30/2019 Expense</v>
      </c>
    </row>
    <row r="136" spans="1:2" s="1" customFormat="1">
      <c r="A136" s="140">
        <v>0</v>
      </c>
      <c r="B136" s="138" t="str">
        <f>$B$9</f>
        <v>Balance of deferred (inflows) 6/30/2019.</v>
      </c>
    </row>
    <row r="137" spans="1:2" s="1" customFormat="1">
      <c r="A137" s="140">
        <v>28146243</v>
      </c>
      <c r="B137" s="138" t="str">
        <f>$B$10</f>
        <v>Balance of Deferred outflows 6/30/2019</v>
      </c>
    </row>
    <row r="138" spans="1:2" s="1" customFormat="1">
      <c r="A138" s="140">
        <v>28146243</v>
      </c>
      <c r="B138" s="138" t="str">
        <f>$B$11</f>
        <v>Amount Recognized in 6/30/2020 Expense</v>
      </c>
    </row>
    <row r="139" spans="1:2" s="1" customFormat="1">
      <c r="A139" s="140">
        <v>0</v>
      </c>
      <c r="B139" s="138" t="str">
        <f>$B$12</f>
        <v>Amount Recognized in 6/30/2021 Expense</v>
      </c>
    </row>
    <row r="140" spans="1:2" s="1" customFormat="1">
      <c r="A140" s="140">
        <v>0</v>
      </c>
      <c r="B140" s="138" t="str">
        <f>$B$13</f>
        <v>Amount Recognized in 6/30/2022 Expense</v>
      </c>
    </row>
    <row r="141" spans="1:2" s="1" customFormat="1">
      <c r="A141" s="140">
        <v>0</v>
      </c>
      <c r="B141" s="138" t="str">
        <f>$B$14</f>
        <v>Amount Recognized in 6/30/2023 Expense</v>
      </c>
    </row>
    <row r="142" spans="1:2" s="1" customFormat="1">
      <c r="A142" s="140">
        <v>0</v>
      </c>
      <c r="B142" s="138" t="str">
        <f>$B$15</f>
        <v>Amount Recognized in 6/30/2024 Expense</v>
      </c>
    </row>
    <row r="143" spans="1:2" s="1" customFormat="1">
      <c r="A143" s="140">
        <v>0</v>
      </c>
      <c r="B143" s="138" t="str">
        <f>$B$16</f>
        <v>Amount Recognized thereafter in Expense</v>
      </c>
    </row>
    <row r="144" spans="1:2" s="1" customFormat="1">
      <c r="A144" s="140"/>
      <c r="B144" s="138"/>
    </row>
    <row r="145" spans="1:5" s="1" customFormat="1">
      <c r="A145" s="305" t="s">
        <v>294</v>
      </c>
      <c r="B145" s="138"/>
    </row>
    <row r="146" spans="1:5" s="1" customFormat="1">
      <c r="A146" s="257">
        <v>0</v>
      </c>
      <c r="B146" s="138" t="s">
        <v>231</v>
      </c>
    </row>
    <row r="147" spans="1:5" s="1" customFormat="1">
      <c r="A147" s="140" t="s">
        <v>374</v>
      </c>
      <c r="B147" s="138" t="s">
        <v>232</v>
      </c>
    </row>
    <row r="148" spans="1:5" s="1" customFormat="1">
      <c r="A148" s="140">
        <v>5.2</v>
      </c>
      <c r="B148" s="138" t="s">
        <v>233</v>
      </c>
    </row>
    <row r="149" spans="1:5" s="1" customFormat="1">
      <c r="A149" s="140">
        <v>0</v>
      </c>
      <c r="B149" s="138" t="str">
        <f>$B$22</f>
        <v>Amount Recognized in 6/30/2019 Expense</v>
      </c>
    </row>
    <row r="150" spans="1:5" s="1" customFormat="1">
      <c r="A150" s="140">
        <v>0</v>
      </c>
      <c r="B150" s="138" t="str">
        <f>$B$9</f>
        <v>Balance of deferred (inflows) 6/30/2019.</v>
      </c>
    </row>
    <row r="151" spans="1:5" s="1" customFormat="1">
      <c r="A151" s="140">
        <v>0</v>
      </c>
      <c r="B151" s="138" t="str">
        <f>$B$10</f>
        <v>Balance of Deferred outflows 6/30/2019</v>
      </c>
    </row>
    <row r="152" spans="1:5" s="1" customFormat="1">
      <c r="A152" s="140">
        <v>0</v>
      </c>
      <c r="B152" s="138" t="str">
        <f>$B$11</f>
        <v>Amount Recognized in 6/30/2020 Expense</v>
      </c>
    </row>
    <row r="153" spans="1:5" s="1" customFormat="1">
      <c r="A153" s="140">
        <v>0</v>
      </c>
      <c r="B153" s="138" t="str">
        <f>$B$12</f>
        <v>Amount Recognized in 6/30/2021 Expense</v>
      </c>
    </row>
    <row r="154" spans="1:5" s="1" customFormat="1">
      <c r="A154" s="140">
        <v>0</v>
      </c>
      <c r="B154" s="138" t="str">
        <f>$B$13</f>
        <v>Amount Recognized in 6/30/2022 Expense</v>
      </c>
    </row>
    <row r="155" spans="1:5" s="1" customFormat="1">
      <c r="A155" s="140">
        <v>0</v>
      </c>
      <c r="B155" s="138" t="str">
        <f>$B$14</f>
        <v>Amount Recognized in 6/30/2023 Expense</v>
      </c>
    </row>
    <row r="156" spans="1:5" s="1" customFormat="1">
      <c r="A156" s="140">
        <v>0</v>
      </c>
      <c r="B156" s="138" t="str">
        <f>$B$15</f>
        <v>Amount Recognized in 6/30/2024 Expense</v>
      </c>
    </row>
    <row r="157" spans="1:5" s="1" customFormat="1">
      <c r="A157" s="140">
        <v>0</v>
      </c>
      <c r="B157" s="138" t="str">
        <f>$B$16</f>
        <v>Amount Recognized thereafter in Expense</v>
      </c>
    </row>
    <row r="158" spans="1:5" s="1" customFormat="1">
      <c r="A158" s="140"/>
      <c r="B158" s="138"/>
    </row>
    <row r="159" spans="1:5" s="1" customFormat="1">
      <c r="A159" s="241"/>
      <c r="B159" s="138"/>
      <c r="E159" s="293"/>
    </row>
    <row r="160" spans="1:5" s="1" customFormat="1">
      <c r="A160" s="257">
        <v>2240292080</v>
      </c>
      <c r="B160" s="138" t="s">
        <v>231</v>
      </c>
    </row>
    <row r="161" spans="1:5" s="1" customFormat="1">
      <c r="A161" s="140" t="s">
        <v>359</v>
      </c>
      <c r="B161" s="138" t="s">
        <v>232</v>
      </c>
    </row>
    <row r="162" spans="1:5" s="1" customFormat="1">
      <c r="A162" s="140">
        <v>5.2</v>
      </c>
      <c r="B162" s="138" t="s">
        <v>233</v>
      </c>
    </row>
    <row r="163" spans="1:5" s="1" customFormat="1">
      <c r="A163" s="140">
        <v>430825400</v>
      </c>
      <c r="B163" s="138" t="str">
        <f>$B$22</f>
        <v>Amount Recognized in 6/30/2019 Expense</v>
      </c>
    </row>
    <row r="164" spans="1:5" s="1" customFormat="1">
      <c r="A164" s="140">
        <v>0</v>
      </c>
      <c r="B164" s="138" t="str">
        <f>$B$9</f>
        <v>Balance of deferred (inflows) 6/30/2019.</v>
      </c>
    </row>
    <row r="165" spans="1:5" s="1" customFormat="1">
      <c r="A165" s="140">
        <v>1378641280</v>
      </c>
      <c r="B165" s="138" t="str">
        <f>$B$10</f>
        <v>Balance of Deferred outflows 6/30/2019</v>
      </c>
    </row>
    <row r="166" spans="1:5" s="1" customFormat="1">
      <c r="A166" s="140">
        <v>430825400</v>
      </c>
      <c r="B166" s="138" t="str">
        <f>$B$11</f>
        <v>Amount Recognized in 6/30/2020 Expense</v>
      </c>
    </row>
    <row r="167" spans="1:5" s="1" customFormat="1">
      <c r="A167" s="140">
        <v>430825400</v>
      </c>
      <c r="B167" s="138" t="str">
        <f>$B$12</f>
        <v>Amount Recognized in 6/30/2021 Expense</v>
      </c>
    </row>
    <row r="168" spans="1:5" s="1" customFormat="1">
      <c r="A168" s="140">
        <v>430825400</v>
      </c>
      <c r="B168" s="138" t="str">
        <f>$B$13</f>
        <v>Amount Recognized in 6/30/2022 Expense</v>
      </c>
    </row>
    <row r="169" spans="1:5" s="1" customFormat="1">
      <c r="A169" s="140">
        <v>86165080</v>
      </c>
      <c r="B169" s="138" t="str">
        <f>$B$14</f>
        <v>Amount Recognized in 6/30/2023 Expense</v>
      </c>
    </row>
    <row r="170" spans="1:5" s="1" customFormat="1">
      <c r="A170" s="140">
        <v>0</v>
      </c>
      <c r="B170" s="138" t="str">
        <f>$B$15</f>
        <v>Amount Recognized in 6/30/2024 Expense</v>
      </c>
    </row>
    <row r="171" spans="1:5" s="1" customFormat="1">
      <c r="A171" s="140">
        <v>0</v>
      </c>
      <c r="B171" s="138" t="str">
        <f>$B$16</f>
        <v>Amount Recognized thereafter in Expense</v>
      </c>
    </row>
    <row r="172" spans="1:5" s="1" customFormat="1">
      <c r="A172" s="140"/>
      <c r="B172" s="138"/>
    </row>
    <row r="173" spans="1:5" s="1" customFormat="1">
      <c r="A173" s="241"/>
      <c r="B173" s="138"/>
      <c r="E173" s="293"/>
    </row>
    <row r="174" spans="1:5" s="1" customFormat="1">
      <c r="A174" s="140">
        <v>0</v>
      </c>
      <c r="B174" s="138" t="s">
        <v>231</v>
      </c>
      <c r="E174" s="293"/>
    </row>
    <row r="175" spans="1:5" s="1" customFormat="1">
      <c r="A175" s="140" t="s">
        <v>319</v>
      </c>
      <c r="B175" s="138" t="s">
        <v>232</v>
      </c>
      <c r="E175" s="293"/>
    </row>
    <row r="176" spans="1:5" s="1" customFormat="1">
      <c r="A176" s="140">
        <v>0</v>
      </c>
      <c r="B176" s="138" t="s">
        <v>233</v>
      </c>
      <c r="E176" s="293"/>
    </row>
    <row r="177" spans="1:5" s="1" customFormat="1">
      <c r="A177" s="140">
        <v>0</v>
      </c>
      <c r="B177" s="138" t="str">
        <f>$B$22</f>
        <v>Amount Recognized in 6/30/2019 Expense</v>
      </c>
      <c r="E177" s="293"/>
    </row>
    <row r="178" spans="1:5" s="1" customFormat="1">
      <c r="A178" s="140">
        <v>0</v>
      </c>
      <c r="B178" s="138" t="str">
        <f>$B$9</f>
        <v>Balance of deferred (inflows) 6/30/2019.</v>
      </c>
    </row>
    <row r="179" spans="1:5" s="1" customFormat="1">
      <c r="A179" s="140">
        <v>0</v>
      </c>
      <c r="B179" s="138" t="str">
        <f>$B$10</f>
        <v>Balance of Deferred outflows 6/30/2019</v>
      </c>
    </row>
    <row r="180" spans="1:5" s="1" customFormat="1">
      <c r="A180" s="140">
        <v>0</v>
      </c>
      <c r="B180" s="138" t="str">
        <f>$B$11</f>
        <v>Amount Recognized in 6/30/2020 Expense</v>
      </c>
    </row>
    <row r="181" spans="1:5" s="1" customFormat="1">
      <c r="A181" s="140">
        <v>0</v>
      </c>
      <c r="B181" s="138" t="str">
        <f>$B$12</f>
        <v>Amount Recognized in 6/30/2021 Expense</v>
      </c>
    </row>
    <row r="182" spans="1:5" s="1" customFormat="1">
      <c r="A182" s="140">
        <v>0</v>
      </c>
      <c r="B182" s="138" t="str">
        <f>$B$13</f>
        <v>Amount Recognized in 6/30/2022 Expense</v>
      </c>
    </row>
    <row r="183" spans="1:5" s="1" customFormat="1">
      <c r="A183" s="140">
        <v>0</v>
      </c>
      <c r="B183" s="138" t="str">
        <f>$B$14</f>
        <v>Amount Recognized in 6/30/2023 Expense</v>
      </c>
    </row>
    <row r="184" spans="1:5" s="1" customFormat="1">
      <c r="A184" s="140">
        <v>0</v>
      </c>
      <c r="B184" s="138" t="str">
        <f>$B$15</f>
        <v>Amount Recognized in 6/30/2024 Expense</v>
      </c>
    </row>
    <row r="185" spans="1:5" s="1" customFormat="1">
      <c r="A185" s="140">
        <v>0</v>
      </c>
      <c r="B185" s="138" t="str">
        <f>$B$16</f>
        <v>Amount Recognized thereafter in Expense</v>
      </c>
    </row>
    <row r="186" spans="1:5" s="1" customFormat="1">
      <c r="A186" s="140"/>
      <c r="B186" s="138"/>
    </row>
    <row r="187" spans="1:5" s="1" customFormat="1">
      <c r="A187" s="241"/>
      <c r="B187" s="138"/>
    </row>
    <row r="188" spans="1:5" s="1" customFormat="1">
      <c r="A188" s="257">
        <v>3946364611</v>
      </c>
      <c r="B188" s="138" t="s">
        <v>231</v>
      </c>
    </row>
    <row r="189" spans="1:5">
      <c r="A189" s="140" t="s">
        <v>293</v>
      </c>
      <c r="B189" s="138" t="s">
        <v>232</v>
      </c>
    </row>
    <row r="190" spans="1:5">
      <c r="A190" s="140">
        <v>5.3</v>
      </c>
      <c r="B190" s="138" t="s">
        <v>233</v>
      </c>
    </row>
    <row r="191" spans="1:5">
      <c r="A191" s="140">
        <v>744597096</v>
      </c>
      <c r="B191" s="138" t="str">
        <f>$B$22</f>
        <v>Amount Recognized in 6/30/2019 Expense</v>
      </c>
    </row>
    <row r="192" spans="1:5">
      <c r="A192" s="140">
        <v>0</v>
      </c>
      <c r="B192" s="138" t="str">
        <f>$B$9</f>
        <v>Balance of deferred (inflows) 6/30/2019.</v>
      </c>
    </row>
    <row r="193" spans="1:6">
      <c r="A193" s="140">
        <v>967976227</v>
      </c>
      <c r="B193" s="138" t="str">
        <f>$B$10</f>
        <v>Balance of Deferred outflows 6/30/2019</v>
      </c>
      <c r="E193" s="294"/>
      <c r="F193" s="294"/>
    </row>
    <row r="194" spans="1:6">
      <c r="A194" s="140">
        <v>744597096</v>
      </c>
      <c r="B194" s="138" t="str">
        <f>$B$11</f>
        <v>Amount Recognized in 6/30/2020 Expense</v>
      </c>
      <c r="E194" s="294"/>
      <c r="F194" s="294"/>
    </row>
    <row r="195" spans="1:6">
      <c r="A195" s="140">
        <v>223379131</v>
      </c>
      <c r="B195" s="138" t="str">
        <f>$B$12</f>
        <v>Amount Recognized in 6/30/2021 Expense</v>
      </c>
      <c r="E195" s="294"/>
      <c r="F195" s="294"/>
    </row>
    <row r="196" spans="1:6">
      <c r="A196" s="140">
        <v>0</v>
      </c>
      <c r="B196" s="138" t="str">
        <f>$B$13</f>
        <v>Amount Recognized in 6/30/2022 Expense</v>
      </c>
    </row>
    <row r="197" spans="1:6">
      <c r="A197" s="140">
        <v>0</v>
      </c>
      <c r="B197" s="138" t="str">
        <f>$B$14</f>
        <v>Amount Recognized in 6/30/2023 Expense</v>
      </c>
    </row>
    <row r="198" spans="1:6">
      <c r="A198" s="140">
        <v>0</v>
      </c>
      <c r="B198" s="138" t="str">
        <f>$B$15</f>
        <v>Amount Recognized in 6/30/2024 Expense</v>
      </c>
    </row>
    <row r="199" spans="1:6">
      <c r="A199" s="140">
        <v>0</v>
      </c>
      <c r="B199" s="138" t="str">
        <f>$B$16</f>
        <v>Amount Recognized thereafter in Expense</v>
      </c>
    </row>
    <row r="200" spans="1:6">
      <c r="A200" s="140"/>
      <c r="B200" s="281"/>
    </row>
    <row r="201" spans="1:6" ht="15" thickBot="1">
      <c r="A201" s="38"/>
      <c r="B201" s="138"/>
    </row>
    <row r="202" spans="1:6">
      <c r="A202" s="37" t="s">
        <v>1</v>
      </c>
      <c r="B202" s="20"/>
    </row>
    <row r="203" spans="1:6">
      <c r="A203" s="156" t="s">
        <v>266</v>
      </c>
      <c r="B203" s="3" t="s">
        <v>2</v>
      </c>
    </row>
    <row r="204" spans="1:6">
      <c r="A204" s="156" t="s">
        <v>267</v>
      </c>
      <c r="B204" s="3" t="s">
        <v>3</v>
      </c>
      <c r="C204" s="365"/>
      <c r="D204" s="366"/>
    </row>
    <row r="205" spans="1:6">
      <c r="A205" s="165">
        <v>6.4690599999999994E-5</v>
      </c>
      <c r="B205" s="3" t="s">
        <v>4</v>
      </c>
      <c r="C205" s="365"/>
    </row>
    <row r="206" spans="1:6">
      <c r="A206" s="165">
        <v>8.5192599999999995E-5</v>
      </c>
      <c r="B206" s="3" t="s">
        <v>5</v>
      </c>
      <c r="C206" s="252"/>
    </row>
    <row r="207" spans="1:6">
      <c r="A207" s="159">
        <v>979977</v>
      </c>
      <c r="B207" s="3" t="s">
        <v>6</v>
      </c>
      <c r="C207" s="252"/>
    </row>
    <row r="208" spans="1:6" ht="15" thickBot="1">
      <c r="A208" s="38">
        <v>1473628</v>
      </c>
      <c r="B208" s="4" t="s">
        <v>7</v>
      </c>
    </row>
    <row r="209" spans="1:2">
      <c r="A209" s="37" t="s">
        <v>8</v>
      </c>
      <c r="B209" s="2"/>
    </row>
    <row r="210" spans="1:2">
      <c r="A210" s="156" t="s">
        <v>266</v>
      </c>
      <c r="B210" s="3" t="s">
        <v>2</v>
      </c>
    </row>
    <row r="211" spans="1:2">
      <c r="A211" s="156" t="s">
        <v>267</v>
      </c>
      <c r="B211" s="3" t="s">
        <v>3</v>
      </c>
    </row>
    <row r="212" spans="1:2">
      <c r="A212" s="159">
        <v>1473628</v>
      </c>
      <c r="B212" s="3" t="s">
        <v>9</v>
      </c>
    </row>
    <row r="213" spans="1:2">
      <c r="A213" s="158">
        <v>81266</v>
      </c>
      <c r="B213" s="3" t="s">
        <v>10</v>
      </c>
    </row>
    <row r="214" spans="1:2">
      <c r="A214" s="158">
        <v>199914</v>
      </c>
      <c r="B214" s="3" t="s">
        <v>11</v>
      </c>
    </row>
    <row r="215" spans="1:2">
      <c r="A215" s="158">
        <v>0</v>
      </c>
      <c r="B215" s="3" t="s">
        <v>12</v>
      </c>
    </row>
    <row r="216" spans="1:2">
      <c r="A216" s="159">
        <v>201896</v>
      </c>
      <c r="B216" s="3" t="s">
        <v>240</v>
      </c>
    </row>
    <row r="217" spans="1:2">
      <c r="A217" s="159">
        <v>74514</v>
      </c>
      <c r="B217" s="3" t="s">
        <v>239</v>
      </c>
    </row>
    <row r="218" spans="1:2">
      <c r="A218" s="158">
        <v>0</v>
      </c>
      <c r="B218" s="3" t="s">
        <v>10</v>
      </c>
    </row>
    <row r="219" spans="1:2">
      <c r="A219" s="158">
        <v>0</v>
      </c>
      <c r="B219" s="3" t="s">
        <v>11</v>
      </c>
    </row>
    <row r="220" spans="1:2">
      <c r="A220" s="159">
        <v>41776</v>
      </c>
      <c r="B220" s="3" t="s">
        <v>12</v>
      </c>
    </row>
    <row r="221" spans="1:2">
      <c r="A221" s="159">
        <v>150137</v>
      </c>
      <c r="B221" s="3" t="s">
        <v>240</v>
      </c>
    </row>
    <row r="222" spans="1:2">
      <c r="A222" s="158">
        <v>0</v>
      </c>
      <c r="B222" s="3" t="s">
        <v>239</v>
      </c>
    </row>
    <row r="223" spans="1:2">
      <c r="A223" s="159">
        <v>376859</v>
      </c>
      <c r="B223" s="3" t="s">
        <v>13</v>
      </c>
    </row>
    <row r="224" spans="1:2">
      <c r="A224" s="159">
        <v>-1803</v>
      </c>
      <c r="B224" s="3" t="s">
        <v>241</v>
      </c>
    </row>
    <row r="225" spans="1:2">
      <c r="A225" s="158">
        <v>33345</v>
      </c>
      <c r="B225" s="3" t="s">
        <v>242</v>
      </c>
    </row>
    <row r="226" spans="1:2" ht="15" thickBot="1">
      <c r="A226" s="38">
        <v>408401</v>
      </c>
      <c r="B226" s="3" t="s">
        <v>14</v>
      </c>
    </row>
    <row r="227" spans="1:2">
      <c r="A227" s="37" t="s">
        <v>15</v>
      </c>
      <c r="B227" s="2"/>
    </row>
    <row r="228" spans="1:2">
      <c r="A228" s="156" t="s">
        <v>266</v>
      </c>
      <c r="B228" s="3" t="s">
        <v>2</v>
      </c>
    </row>
    <row r="229" spans="1:2">
      <c r="A229" s="156" t="s">
        <v>267</v>
      </c>
      <c r="B229" s="3" t="s">
        <v>3</v>
      </c>
    </row>
    <row r="230" spans="1:2">
      <c r="A230" s="156" t="s">
        <v>268</v>
      </c>
      <c r="B230" s="3" t="s">
        <v>16</v>
      </c>
    </row>
    <row r="231" spans="1:2">
      <c r="A231" s="159">
        <v>241932</v>
      </c>
      <c r="B231" s="3" t="s">
        <v>17</v>
      </c>
    </row>
    <row r="232" spans="1:2">
      <c r="A232" s="159">
        <v>424553</v>
      </c>
      <c r="B232" s="3" t="s">
        <v>18</v>
      </c>
    </row>
    <row r="233" spans="1:2">
      <c r="A233" s="159">
        <v>64126</v>
      </c>
      <c r="B233" s="3" t="s">
        <v>19</v>
      </c>
    </row>
    <row r="234" spans="1:2">
      <c r="A234" s="159">
        <v>730611</v>
      </c>
      <c r="B234" s="3" t="s">
        <v>20</v>
      </c>
    </row>
    <row r="235" spans="1:2">
      <c r="A235" s="157">
        <v>0.17180000000000001</v>
      </c>
      <c r="B235" s="3" t="s">
        <v>21</v>
      </c>
    </row>
    <row r="236" spans="1:2">
      <c r="A236" s="157">
        <v>8.4000000000000005E-2</v>
      </c>
      <c r="B236" s="3" t="s">
        <v>22</v>
      </c>
    </row>
    <row r="237" spans="1:2">
      <c r="A237" s="157">
        <v>0.1303</v>
      </c>
      <c r="B237" s="3" t="s">
        <v>23</v>
      </c>
    </row>
    <row r="238" spans="1:2" ht="15" thickBot="1">
      <c r="A238" s="163">
        <v>698673</v>
      </c>
      <c r="B238" s="4" t="s">
        <v>24</v>
      </c>
    </row>
    <row r="239" spans="1:2">
      <c r="A239" s="37" t="s">
        <v>25</v>
      </c>
      <c r="B239" s="2"/>
    </row>
    <row r="240" spans="1:2">
      <c r="A240" s="156" t="s">
        <v>266</v>
      </c>
      <c r="B240" s="3" t="s">
        <v>2</v>
      </c>
    </row>
    <row r="241" spans="1:2">
      <c r="A241" s="156" t="s">
        <v>267</v>
      </c>
      <c r="B241" s="3" t="s">
        <v>3</v>
      </c>
    </row>
    <row r="242" spans="1:2">
      <c r="A242" s="156" t="s">
        <v>268</v>
      </c>
      <c r="B242" s="3" t="s">
        <v>16</v>
      </c>
    </row>
    <row r="243" spans="1:2">
      <c r="A243" s="158">
        <v>730611</v>
      </c>
      <c r="B243" s="3" t="s">
        <v>20</v>
      </c>
    </row>
    <row r="244" spans="1:2">
      <c r="A244" s="158">
        <v>1518212067</v>
      </c>
      <c r="B244" s="3" t="s">
        <v>26</v>
      </c>
    </row>
    <row r="245" spans="1:2">
      <c r="A245" s="158">
        <v>10075147190</v>
      </c>
      <c r="B245" s="3" t="s">
        <v>27</v>
      </c>
    </row>
    <row r="246" spans="1:2">
      <c r="A246" s="158">
        <v>110095</v>
      </c>
      <c r="B246" s="3" t="s">
        <v>28</v>
      </c>
    </row>
    <row r="247" spans="1:2">
      <c r="A247" s="158">
        <v>11251056380</v>
      </c>
      <c r="B247" s="3" t="s">
        <v>29</v>
      </c>
    </row>
    <row r="248" spans="1:2">
      <c r="A248" s="158">
        <v>5897900212</v>
      </c>
      <c r="B248" s="3" t="s">
        <v>30</v>
      </c>
    </row>
    <row r="249" spans="1:2">
      <c r="A249" s="158">
        <v>1393740</v>
      </c>
      <c r="B249" s="3" t="s">
        <v>31</v>
      </c>
    </row>
    <row r="250" spans="1:2">
      <c r="A250" s="158">
        <v>9272</v>
      </c>
      <c r="B250" s="3" t="s">
        <v>32</v>
      </c>
    </row>
    <row r="251" spans="1:2">
      <c r="A251" s="158">
        <v>0</v>
      </c>
      <c r="B251" s="3" t="s">
        <v>188</v>
      </c>
    </row>
    <row r="252" spans="1:2">
      <c r="A252" s="158">
        <v>0</v>
      </c>
      <c r="B252" s="3" t="s">
        <v>189</v>
      </c>
    </row>
    <row r="253" spans="1:2">
      <c r="A253" s="170">
        <v>-102012</v>
      </c>
      <c r="B253" s="3" t="s">
        <v>33</v>
      </c>
    </row>
    <row r="254" spans="1:2">
      <c r="A254" s="255">
        <v>0</v>
      </c>
      <c r="B254" s="3" t="s">
        <v>34</v>
      </c>
    </row>
    <row r="255" spans="1:2">
      <c r="A255" s="158" t="s">
        <v>295</v>
      </c>
      <c r="B255" s="3" t="s">
        <v>35</v>
      </c>
    </row>
    <row r="256" spans="1:2">
      <c r="A256" s="170">
        <v>1301000</v>
      </c>
      <c r="B256" s="3" t="s">
        <v>36</v>
      </c>
    </row>
    <row r="257" spans="1:5" ht="15" thickBot="1">
      <c r="A257" s="170">
        <v>1149031</v>
      </c>
      <c r="B257" s="4" t="s">
        <v>37</v>
      </c>
    </row>
    <row r="258" spans="1:5">
      <c r="A258" s="37" t="s">
        <v>38</v>
      </c>
      <c r="B258" s="2"/>
    </row>
    <row r="259" spans="1:5">
      <c r="A259" s="156" t="s">
        <v>266</v>
      </c>
      <c r="B259" s="3" t="s">
        <v>2</v>
      </c>
    </row>
    <row r="260" spans="1:5">
      <c r="A260" s="156" t="s">
        <v>267</v>
      </c>
      <c r="B260" s="3" t="s">
        <v>3</v>
      </c>
    </row>
    <row r="261" spans="1:5">
      <c r="A261" s="156" t="s">
        <v>268</v>
      </c>
      <c r="B261" s="3" t="s">
        <v>16</v>
      </c>
    </row>
    <row r="262" spans="1:5">
      <c r="A262" s="158">
        <v>698673</v>
      </c>
      <c r="B262" s="3" t="s">
        <v>24</v>
      </c>
    </row>
    <row r="263" spans="1:5" s="6" customFormat="1">
      <c r="A263" s="158">
        <v>110095</v>
      </c>
      <c r="B263" s="3" t="s">
        <v>28</v>
      </c>
    </row>
    <row r="264" spans="1:5">
      <c r="A264" s="158">
        <v>1301000</v>
      </c>
      <c r="B264" s="3" t="s">
        <v>37</v>
      </c>
    </row>
    <row r="265" spans="1:5">
      <c r="A265" s="158">
        <v>2109768</v>
      </c>
      <c r="B265" s="3" t="s">
        <v>39</v>
      </c>
    </row>
    <row r="266" spans="1:5" ht="15" thickBot="1">
      <c r="A266" s="160">
        <v>8.5192599999999995E-5</v>
      </c>
      <c r="B266" s="4" t="s">
        <v>40</v>
      </c>
    </row>
    <row r="267" spans="1:5">
      <c r="A267" s="37" t="s">
        <v>41</v>
      </c>
      <c r="B267" s="2"/>
    </row>
    <row r="268" spans="1:5" ht="15" customHeight="1">
      <c r="A268" s="156" t="s">
        <v>266</v>
      </c>
      <c r="B268" s="3" t="s">
        <v>2</v>
      </c>
    </row>
    <row r="269" spans="1:5" ht="15" customHeight="1">
      <c r="A269" s="156" t="s">
        <v>267</v>
      </c>
      <c r="B269" s="3" t="s">
        <v>3</v>
      </c>
    </row>
    <row r="270" spans="1:5" ht="15" customHeight="1">
      <c r="A270" s="161">
        <v>6.4690599999999994E-5</v>
      </c>
      <c r="B270" s="3" t="s">
        <v>4</v>
      </c>
    </row>
    <row r="271" spans="1:5" ht="15" customHeight="1">
      <c r="A271" s="161">
        <v>8.5192599999999995E-5</v>
      </c>
      <c r="B271" s="3" t="s">
        <v>5</v>
      </c>
    </row>
    <row r="272" spans="1:5" ht="15" customHeight="1">
      <c r="A272" s="158">
        <v>15148682853</v>
      </c>
      <c r="B272" s="3" t="s">
        <v>190</v>
      </c>
      <c r="E272" s="251"/>
    </row>
    <row r="273" spans="1:5" ht="15" customHeight="1">
      <c r="A273" s="158">
        <v>3364665766</v>
      </c>
      <c r="B273" s="3" t="s">
        <v>191</v>
      </c>
    </row>
    <row r="274" spans="1:5" ht="15" customHeight="1">
      <c r="A274" s="158">
        <v>241595</v>
      </c>
      <c r="B274" s="3" t="s">
        <v>42</v>
      </c>
    </row>
    <row r="275" spans="1:5" ht="15" customHeight="1">
      <c r="A275" s="158">
        <v>1720183341</v>
      </c>
      <c r="B275" s="3" t="s">
        <v>43</v>
      </c>
    </row>
    <row r="276" spans="1:5" ht="15" customHeight="1">
      <c r="A276" s="158">
        <v>146547</v>
      </c>
      <c r="B276" s="5" t="s">
        <v>44</v>
      </c>
      <c r="E276" s="252"/>
    </row>
    <row r="277" spans="1:5" ht="15" customHeight="1">
      <c r="A277" s="159">
        <v>152931</v>
      </c>
      <c r="B277" s="5" t="s">
        <v>45</v>
      </c>
      <c r="E277" s="252"/>
    </row>
    <row r="278" spans="1:5" ht="15" customHeight="1">
      <c r="A278" s="158">
        <v>6384</v>
      </c>
      <c r="B278" s="3" t="s">
        <v>46</v>
      </c>
    </row>
    <row r="279" spans="1:5" ht="15" customHeight="1">
      <c r="A279" s="162">
        <v>5.2</v>
      </c>
      <c r="B279" s="3" t="s">
        <v>47</v>
      </c>
    </row>
    <row r="280" spans="1:5" ht="15" customHeight="1">
      <c r="A280" s="166">
        <v>46461</v>
      </c>
      <c r="B280" s="3" t="s">
        <v>192</v>
      </c>
    </row>
    <row r="281" spans="1:5" ht="15" customHeight="1" thickBot="1">
      <c r="A281" s="38">
        <v>1228</v>
      </c>
      <c r="B281" s="4" t="s">
        <v>193</v>
      </c>
    </row>
    <row r="282" spans="1:5" ht="15" customHeight="1">
      <c r="A282" s="37" t="s">
        <v>194</v>
      </c>
      <c r="B282" s="2"/>
    </row>
    <row r="283" spans="1:5" ht="15" customHeight="1">
      <c r="A283" s="156" t="s">
        <v>266</v>
      </c>
      <c r="B283" s="3" t="s">
        <v>2</v>
      </c>
    </row>
    <row r="284" spans="1:5" ht="15" customHeight="1">
      <c r="A284" s="156" t="s">
        <v>267</v>
      </c>
      <c r="B284" s="3" t="s">
        <v>3</v>
      </c>
    </row>
    <row r="285" spans="1:5" ht="15" customHeight="1">
      <c r="A285" s="253">
        <v>43281</v>
      </c>
      <c r="B285" s="284" t="s">
        <v>195</v>
      </c>
    </row>
    <row r="286" spans="1:5" ht="15" customHeight="1">
      <c r="A286" s="156" t="s">
        <v>269</v>
      </c>
      <c r="B286" s="3" t="s">
        <v>196</v>
      </c>
    </row>
    <row r="287" spans="1:5" ht="15" customHeight="1">
      <c r="A287" s="254">
        <v>5.2</v>
      </c>
      <c r="B287" s="3" t="s">
        <v>197</v>
      </c>
      <c r="E287" s="251"/>
    </row>
    <row r="288" spans="1:5" ht="15" customHeight="1">
      <c r="A288" s="254">
        <v>4.2</v>
      </c>
      <c r="B288" s="3" t="s">
        <v>198</v>
      </c>
    </row>
    <row r="289" spans="1:5" ht="15" customHeight="1">
      <c r="A289" s="158">
        <v>241595</v>
      </c>
      <c r="B289" s="3" t="s">
        <v>199</v>
      </c>
    </row>
    <row r="290" spans="1:5" ht="15" customHeight="1">
      <c r="A290" s="158">
        <v>195134</v>
      </c>
      <c r="B290" s="3" t="s">
        <v>200</v>
      </c>
    </row>
    <row r="291" spans="1:5" ht="15" customHeight="1">
      <c r="A291" s="158">
        <v>46461</v>
      </c>
      <c r="B291" s="3" t="s">
        <v>201</v>
      </c>
      <c r="E291" s="252"/>
    </row>
    <row r="292" spans="1:5" ht="15" customHeight="1">
      <c r="A292" s="158">
        <v>46461</v>
      </c>
      <c r="B292" s="3" t="s">
        <v>202</v>
      </c>
      <c r="E292" s="252"/>
    </row>
    <row r="293" spans="1:5" ht="15" customHeight="1">
      <c r="A293" s="158">
        <v>46461</v>
      </c>
      <c r="B293" s="3" t="s">
        <v>203</v>
      </c>
      <c r="E293" s="252"/>
    </row>
    <row r="294" spans="1:5" ht="15" customHeight="1">
      <c r="A294" s="158">
        <v>46461</v>
      </c>
      <c r="B294" s="3" t="s">
        <v>204</v>
      </c>
      <c r="E294" s="252"/>
    </row>
    <row r="295" spans="1:5" ht="15" customHeight="1">
      <c r="A295" s="158">
        <v>46461</v>
      </c>
      <c r="B295" s="3" t="s">
        <v>205</v>
      </c>
      <c r="E295" s="252"/>
    </row>
    <row r="296" spans="1:5" ht="15" customHeight="1">
      <c r="A296" s="158">
        <v>9290</v>
      </c>
      <c r="B296" s="3" t="s">
        <v>206</v>
      </c>
      <c r="E296" s="252"/>
    </row>
    <row r="297" spans="1:5" ht="15" customHeight="1">
      <c r="A297" s="158">
        <v>0</v>
      </c>
      <c r="B297" s="3" t="s">
        <v>207</v>
      </c>
      <c r="E297" s="252"/>
    </row>
    <row r="298" spans="1:5" ht="15" customHeight="1">
      <c r="A298" s="254"/>
      <c r="B298" s="3"/>
      <c r="E298" s="252"/>
    </row>
    <row r="299" spans="1:5" ht="15" customHeight="1">
      <c r="A299" s="254"/>
      <c r="B299" s="3"/>
    </row>
    <row r="300" spans="1:5" ht="15" customHeight="1">
      <c r="A300" s="156" t="s">
        <v>266</v>
      </c>
      <c r="B300" s="3" t="s">
        <v>2</v>
      </c>
    </row>
    <row r="301" spans="1:5" ht="15" customHeight="1">
      <c r="A301" s="156" t="s">
        <v>267</v>
      </c>
      <c r="B301" s="3" t="s">
        <v>3</v>
      </c>
    </row>
    <row r="302" spans="1:5" ht="15" customHeight="1">
      <c r="A302" s="253">
        <v>43281</v>
      </c>
      <c r="B302" s="284" t="s">
        <v>195</v>
      </c>
      <c r="E302" s="251"/>
    </row>
    <row r="303" spans="1:5" ht="15" customHeight="1">
      <c r="A303" s="156" t="s">
        <v>109</v>
      </c>
      <c r="B303" s="3" t="s">
        <v>196</v>
      </c>
    </row>
    <row r="304" spans="1:5" ht="15" customHeight="1">
      <c r="A304" s="254">
        <v>5.2</v>
      </c>
      <c r="B304" s="3" t="s">
        <v>197</v>
      </c>
    </row>
    <row r="305" spans="1:5" ht="15" customHeight="1">
      <c r="A305" s="254">
        <v>4.2</v>
      </c>
      <c r="B305" s="3" t="s">
        <v>198</v>
      </c>
    </row>
    <row r="306" spans="1:5" ht="15" customHeight="1">
      <c r="A306" s="158">
        <v>6384</v>
      </c>
      <c r="B306" s="3" t="s">
        <v>199</v>
      </c>
      <c r="E306" s="252"/>
    </row>
    <row r="307" spans="1:5" ht="15" customHeight="1">
      <c r="A307" s="158">
        <v>5156</v>
      </c>
      <c r="B307" s="3" t="s">
        <v>200</v>
      </c>
      <c r="E307" s="252"/>
    </row>
    <row r="308" spans="1:5" ht="15" customHeight="1">
      <c r="A308" s="158">
        <v>1228</v>
      </c>
      <c r="B308" s="3" t="s">
        <v>201</v>
      </c>
      <c r="E308" s="252"/>
    </row>
    <row r="309" spans="1:5" ht="15" customHeight="1">
      <c r="A309" s="158">
        <v>1228</v>
      </c>
      <c r="B309" s="3" t="s">
        <v>202</v>
      </c>
      <c r="E309" s="252"/>
    </row>
    <row r="310" spans="1:5" ht="15" customHeight="1">
      <c r="A310" s="158">
        <v>1228</v>
      </c>
      <c r="B310" s="3" t="s">
        <v>203</v>
      </c>
      <c r="E310" s="252"/>
    </row>
    <row r="311" spans="1:5" ht="15" customHeight="1">
      <c r="A311" s="158">
        <v>1228</v>
      </c>
      <c r="B311" s="3" t="s">
        <v>204</v>
      </c>
      <c r="E311" s="252"/>
    </row>
    <row r="312" spans="1:5" ht="15" customHeight="1">
      <c r="A312" s="158">
        <v>1228</v>
      </c>
      <c r="B312" s="3" t="s">
        <v>205</v>
      </c>
      <c r="E312" s="252"/>
    </row>
    <row r="313" spans="1:5" ht="15" customHeight="1">
      <c r="A313" s="158">
        <v>244</v>
      </c>
      <c r="B313" s="3" t="s">
        <v>206</v>
      </c>
    </row>
    <row r="314" spans="1:5" ht="15" customHeight="1">
      <c r="A314" s="158">
        <v>0</v>
      </c>
      <c r="B314" s="3" t="s">
        <v>207</v>
      </c>
    </row>
    <row r="315" spans="1:5" ht="15" customHeight="1">
      <c r="A315" s="254"/>
      <c r="B315" s="3"/>
    </row>
    <row r="316" spans="1:5" ht="15" customHeight="1">
      <c r="A316" s="254"/>
      <c r="B316" s="3"/>
    </row>
    <row r="317" spans="1:5" ht="15" customHeight="1">
      <c r="A317" s="156" t="s">
        <v>266</v>
      </c>
      <c r="B317" s="3" t="s">
        <v>2</v>
      </c>
      <c r="E317" s="251"/>
    </row>
    <row r="318" spans="1:5" ht="15" customHeight="1">
      <c r="A318" s="156" t="s">
        <v>267</v>
      </c>
      <c r="B318" s="3" t="s">
        <v>3</v>
      </c>
    </row>
    <row r="319" spans="1:5" ht="15" customHeight="1">
      <c r="A319" s="253">
        <v>42916</v>
      </c>
      <c r="B319" s="285" t="s">
        <v>195</v>
      </c>
    </row>
    <row r="320" spans="1:5" ht="15" customHeight="1">
      <c r="A320" s="156" t="s">
        <v>269</v>
      </c>
      <c r="B320" s="3" t="s">
        <v>196</v>
      </c>
    </row>
    <row r="321" spans="1:5" ht="15" customHeight="1">
      <c r="A321" s="254">
        <v>5.2</v>
      </c>
      <c r="B321" s="3" t="s">
        <v>197</v>
      </c>
      <c r="E321" s="252"/>
    </row>
    <row r="322" spans="1:5" ht="15" customHeight="1">
      <c r="A322" s="254">
        <v>3.2</v>
      </c>
      <c r="B322" s="3" t="s">
        <v>198</v>
      </c>
      <c r="E322" s="252"/>
    </row>
    <row r="323" spans="1:5" ht="15" customHeight="1">
      <c r="A323" s="158">
        <v>-239657</v>
      </c>
      <c r="B323" s="3" t="s">
        <v>199</v>
      </c>
      <c r="E323" s="252"/>
    </row>
    <row r="324" spans="1:5" ht="15" customHeight="1">
      <c r="A324" s="158">
        <v>-147481</v>
      </c>
      <c r="B324" s="3" t="s">
        <v>200</v>
      </c>
      <c r="E324" s="252"/>
    </row>
    <row r="325" spans="1:5" ht="15" customHeight="1">
      <c r="A325" s="158">
        <v>-46088</v>
      </c>
      <c r="B325" s="3" t="s">
        <v>201</v>
      </c>
      <c r="E325" s="252"/>
    </row>
    <row r="326" spans="1:5" ht="15" customHeight="1">
      <c r="A326" s="158">
        <v>-46088</v>
      </c>
      <c r="B326" s="3" t="s">
        <v>202</v>
      </c>
      <c r="E326" s="252"/>
    </row>
    <row r="327" spans="1:5" ht="15" customHeight="1">
      <c r="A327" s="158">
        <v>-46088</v>
      </c>
      <c r="B327" s="3" t="s">
        <v>203</v>
      </c>
      <c r="E327" s="252"/>
    </row>
    <row r="328" spans="1:5" ht="15" customHeight="1">
      <c r="A328" s="158">
        <v>-46088</v>
      </c>
      <c r="B328" s="3" t="s">
        <v>204</v>
      </c>
    </row>
    <row r="329" spans="1:5" ht="15" customHeight="1">
      <c r="A329" s="158">
        <v>-9217</v>
      </c>
      <c r="B329" s="3" t="s">
        <v>205</v>
      </c>
    </row>
    <row r="330" spans="1:5" ht="15" customHeight="1">
      <c r="A330" s="158">
        <v>0</v>
      </c>
      <c r="B330" s="3" t="s">
        <v>206</v>
      </c>
    </row>
    <row r="331" spans="1:5" ht="15" customHeight="1">
      <c r="A331" s="158">
        <v>0</v>
      </c>
      <c r="B331" s="3" t="s">
        <v>207</v>
      </c>
    </row>
    <row r="332" spans="1:5" ht="15" customHeight="1">
      <c r="A332" s="254"/>
      <c r="B332" s="3"/>
      <c r="E332" s="251"/>
    </row>
    <row r="333" spans="1:5" ht="15" customHeight="1">
      <c r="A333" s="254"/>
      <c r="B333" s="3"/>
    </row>
    <row r="334" spans="1:5" ht="15" customHeight="1">
      <c r="A334" s="156" t="s">
        <v>266</v>
      </c>
      <c r="B334" s="3" t="s">
        <v>2</v>
      </c>
    </row>
    <row r="335" spans="1:5" ht="15" customHeight="1">
      <c r="A335" s="156" t="s">
        <v>267</v>
      </c>
      <c r="B335" s="3" t="s">
        <v>3</v>
      </c>
    </row>
    <row r="336" spans="1:5" ht="15" customHeight="1">
      <c r="A336" s="253">
        <v>42916</v>
      </c>
      <c r="B336" s="285" t="s">
        <v>195</v>
      </c>
      <c r="E336" s="252"/>
    </row>
    <row r="337" spans="1:5" ht="15" customHeight="1">
      <c r="A337" s="156" t="s">
        <v>109</v>
      </c>
      <c r="B337" s="3" t="s">
        <v>196</v>
      </c>
      <c r="E337" s="252"/>
    </row>
    <row r="338" spans="1:5" ht="15" customHeight="1">
      <c r="A338" s="254">
        <v>5.2</v>
      </c>
      <c r="B338" s="3" t="s">
        <v>197</v>
      </c>
      <c r="E338" s="252"/>
    </row>
    <row r="339" spans="1:5" ht="15" customHeight="1">
      <c r="A339" s="254">
        <v>3.2</v>
      </c>
      <c r="B339" s="3" t="s">
        <v>198</v>
      </c>
      <c r="E339" s="252"/>
    </row>
    <row r="340" spans="1:5" ht="15" customHeight="1">
      <c r="A340" s="158">
        <v>67235</v>
      </c>
      <c r="B340" s="3" t="s">
        <v>199</v>
      </c>
      <c r="E340" s="252"/>
    </row>
    <row r="341" spans="1:5" ht="15" customHeight="1">
      <c r="A341" s="158">
        <v>41375</v>
      </c>
      <c r="B341" s="3" t="s">
        <v>200</v>
      </c>
      <c r="E341" s="252"/>
    </row>
    <row r="342" spans="1:5" ht="15" customHeight="1">
      <c r="A342" s="158">
        <v>12930</v>
      </c>
      <c r="B342" s="3" t="s">
        <v>201</v>
      </c>
    </row>
    <row r="343" spans="1:5" ht="15" customHeight="1">
      <c r="A343" s="158">
        <v>12930</v>
      </c>
      <c r="B343" s="3" t="s">
        <v>202</v>
      </c>
    </row>
    <row r="344" spans="1:5" ht="15" customHeight="1">
      <c r="A344" s="158">
        <v>12930</v>
      </c>
      <c r="B344" s="3" t="s">
        <v>203</v>
      </c>
    </row>
    <row r="345" spans="1:5" ht="15" customHeight="1">
      <c r="A345" s="158">
        <v>12930</v>
      </c>
      <c r="B345" s="3" t="s">
        <v>204</v>
      </c>
    </row>
    <row r="346" spans="1:5" ht="15" customHeight="1">
      <c r="A346" s="158">
        <v>2585</v>
      </c>
      <c r="B346" s="3" t="s">
        <v>205</v>
      </c>
    </row>
    <row r="347" spans="1:5" ht="15" customHeight="1">
      <c r="A347" s="158">
        <v>0</v>
      </c>
      <c r="B347" s="3" t="s">
        <v>206</v>
      </c>
      <c r="E347" s="251"/>
    </row>
    <row r="348" spans="1:5" ht="15" customHeight="1">
      <c r="A348" s="158">
        <v>0</v>
      </c>
      <c r="B348" s="3" t="s">
        <v>207</v>
      </c>
    </row>
    <row r="349" spans="1:5" ht="15" customHeight="1">
      <c r="A349" s="254"/>
      <c r="B349" s="3"/>
    </row>
    <row r="350" spans="1:5" ht="15" customHeight="1">
      <c r="A350" s="254"/>
      <c r="B350" s="3"/>
    </row>
    <row r="351" spans="1:5" ht="15" customHeight="1">
      <c r="A351" s="156" t="s">
        <v>266</v>
      </c>
      <c r="B351" s="3" t="s">
        <v>2</v>
      </c>
      <c r="E351" s="252"/>
    </row>
    <row r="352" spans="1:5" ht="15" customHeight="1">
      <c r="A352" s="156" t="s">
        <v>267</v>
      </c>
      <c r="B352" s="3" t="s">
        <v>3</v>
      </c>
    </row>
    <row r="353" spans="1:5">
      <c r="A353" s="253">
        <v>42551</v>
      </c>
      <c r="B353" s="286" t="s">
        <v>195</v>
      </c>
    </row>
    <row r="354" spans="1:5">
      <c r="A354" s="156" t="s">
        <v>269</v>
      </c>
      <c r="B354" s="3" t="s">
        <v>196</v>
      </c>
    </row>
    <row r="355" spans="1:5">
      <c r="A355" s="254">
        <v>5.3</v>
      </c>
      <c r="B355" s="3" t="s">
        <v>197</v>
      </c>
    </row>
    <row r="356" spans="1:5">
      <c r="A356" s="254">
        <v>2.2999999999999998</v>
      </c>
      <c r="B356" s="3" t="s">
        <v>198</v>
      </c>
    </row>
    <row r="357" spans="1:5">
      <c r="A357" s="158">
        <v>5120</v>
      </c>
      <c r="B357" s="3" t="s">
        <v>199</v>
      </c>
    </row>
    <row r="358" spans="1:5">
      <c r="A358" s="158">
        <v>2222</v>
      </c>
      <c r="B358" s="3" t="s">
        <v>200</v>
      </c>
    </row>
    <row r="359" spans="1:5">
      <c r="A359" s="158">
        <v>966</v>
      </c>
      <c r="B359" s="3" t="s">
        <v>201</v>
      </c>
    </row>
    <row r="360" spans="1:5">
      <c r="A360" s="158">
        <v>966</v>
      </c>
      <c r="B360" s="3" t="s">
        <v>202</v>
      </c>
    </row>
    <row r="361" spans="1:5">
      <c r="A361" s="158">
        <v>966</v>
      </c>
      <c r="B361" s="3" t="s">
        <v>203</v>
      </c>
    </row>
    <row r="362" spans="1:5">
      <c r="A362" s="158">
        <v>290</v>
      </c>
      <c r="B362" s="3" t="s">
        <v>204</v>
      </c>
      <c r="E362" s="251"/>
    </row>
    <row r="363" spans="1:5">
      <c r="A363" s="158">
        <v>0</v>
      </c>
      <c r="B363" s="3" t="s">
        <v>205</v>
      </c>
    </row>
    <row r="364" spans="1:5">
      <c r="A364" s="158">
        <v>0</v>
      </c>
      <c r="B364" s="3" t="s">
        <v>206</v>
      </c>
    </row>
    <row r="365" spans="1:5">
      <c r="A365" s="158">
        <v>0</v>
      </c>
      <c r="B365" s="3" t="s">
        <v>207</v>
      </c>
    </row>
    <row r="366" spans="1:5">
      <c r="A366" s="255"/>
      <c r="B366" s="3"/>
      <c r="E366" s="252"/>
    </row>
    <row r="367" spans="1:5">
      <c r="A367" s="255"/>
      <c r="B367" s="3"/>
      <c r="E367" s="252"/>
    </row>
    <row r="368" spans="1:5">
      <c r="A368" s="156" t="s">
        <v>266</v>
      </c>
      <c r="B368" s="3" t="s">
        <v>2</v>
      </c>
      <c r="E368" s="252"/>
    </row>
    <row r="369" spans="1:5">
      <c r="A369" s="156" t="s">
        <v>267</v>
      </c>
      <c r="B369" s="3" t="s">
        <v>3</v>
      </c>
      <c r="E369" s="252"/>
    </row>
    <row r="370" spans="1:5">
      <c r="A370" s="253">
        <v>42551</v>
      </c>
      <c r="B370" s="286" t="s">
        <v>195</v>
      </c>
      <c r="E370" s="252"/>
    </row>
    <row r="371" spans="1:5">
      <c r="A371" s="156" t="s">
        <v>109</v>
      </c>
      <c r="B371" s="3" t="s">
        <v>196</v>
      </c>
    </row>
    <row r="372" spans="1:5">
      <c r="A372" s="254">
        <v>5.3</v>
      </c>
      <c r="B372" s="3" t="s">
        <v>197</v>
      </c>
    </row>
    <row r="373" spans="1:5">
      <c r="A373" s="254">
        <v>2.2999999999999998</v>
      </c>
      <c r="B373" s="3" t="s">
        <v>198</v>
      </c>
    </row>
    <row r="374" spans="1:5">
      <c r="A374" s="158">
        <v>31142</v>
      </c>
      <c r="B374" s="3" t="s">
        <v>199</v>
      </c>
    </row>
    <row r="375" spans="1:5">
      <c r="A375" s="158">
        <v>13514</v>
      </c>
      <c r="B375" s="3" t="s">
        <v>200</v>
      </c>
    </row>
    <row r="376" spans="1:5">
      <c r="A376" s="158">
        <v>5876</v>
      </c>
      <c r="B376" s="3" t="s">
        <v>201</v>
      </c>
    </row>
    <row r="377" spans="1:5">
      <c r="A377" s="158">
        <v>5876</v>
      </c>
      <c r="B377" s="3" t="s">
        <v>202</v>
      </c>
      <c r="E377" s="251"/>
    </row>
    <row r="378" spans="1:5">
      <c r="A378" s="158">
        <v>5876</v>
      </c>
      <c r="B378" s="3" t="s">
        <v>203</v>
      </c>
    </row>
    <row r="379" spans="1:5">
      <c r="A379" s="158">
        <v>1762</v>
      </c>
      <c r="B379" s="3" t="s">
        <v>204</v>
      </c>
    </row>
    <row r="380" spans="1:5">
      <c r="A380" s="158">
        <v>0</v>
      </c>
      <c r="B380" s="3" t="s">
        <v>205</v>
      </c>
    </row>
    <row r="381" spans="1:5">
      <c r="A381" s="158">
        <v>0</v>
      </c>
      <c r="B381" s="3" t="s">
        <v>206</v>
      </c>
      <c r="E381" s="252"/>
    </row>
    <row r="382" spans="1:5">
      <c r="A382" s="158">
        <v>0</v>
      </c>
      <c r="B382" s="3" t="s">
        <v>207</v>
      </c>
      <c r="E382" s="252"/>
    </row>
    <row r="383" spans="1:5">
      <c r="A383" s="254"/>
      <c r="B383" s="3"/>
      <c r="E383" s="252"/>
    </row>
    <row r="384" spans="1:5">
      <c r="A384" s="254"/>
      <c r="B384" s="3"/>
      <c r="E384" s="252"/>
    </row>
    <row r="385" spans="1:5">
      <c r="A385" s="156" t="s">
        <v>266</v>
      </c>
      <c r="B385" s="3" t="s">
        <v>2</v>
      </c>
      <c r="E385" s="252"/>
    </row>
    <row r="386" spans="1:5">
      <c r="A386" s="156" t="s">
        <v>267</v>
      </c>
      <c r="B386" s="3" t="s">
        <v>3</v>
      </c>
      <c r="E386" s="252"/>
    </row>
    <row r="387" spans="1:5">
      <c r="A387" s="253">
        <v>42185</v>
      </c>
      <c r="B387" s="324" t="s">
        <v>195</v>
      </c>
      <c r="E387" s="252"/>
    </row>
    <row r="388" spans="1:5">
      <c r="A388" s="156" t="s">
        <v>269</v>
      </c>
      <c r="B388" s="3" t="s">
        <v>196</v>
      </c>
      <c r="E388" s="252"/>
    </row>
    <row r="389" spans="1:5">
      <c r="A389" s="254">
        <v>5.3</v>
      </c>
      <c r="B389" s="3" t="s">
        <v>197</v>
      </c>
      <c r="E389" s="85"/>
    </row>
    <row r="390" spans="1:5">
      <c r="A390" s="254">
        <v>1.3</v>
      </c>
      <c r="B390" s="3" t="s">
        <v>198</v>
      </c>
    </row>
    <row r="391" spans="1:5">
      <c r="A391" s="158">
        <v>18512</v>
      </c>
      <c r="B391" s="3" t="s">
        <v>199</v>
      </c>
    </row>
    <row r="392" spans="1:5">
      <c r="A392" s="158">
        <v>4540</v>
      </c>
      <c r="B392" s="3" t="s">
        <v>200</v>
      </c>
    </row>
    <row r="393" spans="1:5">
      <c r="A393" s="158">
        <v>3493</v>
      </c>
      <c r="B393" s="3" t="s">
        <v>201</v>
      </c>
    </row>
    <row r="394" spans="1:5">
      <c r="A394" s="158">
        <v>3493</v>
      </c>
      <c r="B394" s="3" t="s">
        <v>202</v>
      </c>
    </row>
    <row r="395" spans="1:5">
      <c r="A395" s="158">
        <v>1047</v>
      </c>
      <c r="B395" s="3" t="s">
        <v>203</v>
      </c>
    </row>
    <row r="396" spans="1:5">
      <c r="A396" s="158">
        <v>0</v>
      </c>
      <c r="B396" s="3" t="s">
        <v>204</v>
      </c>
    </row>
    <row r="397" spans="1:5">
      <c r="A397" s="158">
        <v>0</v>
      </c>
      <c r="B397" s="3" t="s">
        <v>205</v>
      </c>
    </row>
    <row r="398" spans="1:5">
      <c r="A398" s="158">
        <v>0</v>
      </c>
      <c r="B398" s="3" t="s">
        <v>206</v>
      </c>
    </row>
    <row r="399" spans="1:5">
      <c r="A399" s="158">
        <v>0</v>
      </c>
      <c r="B399" s="3" t="s">
        <v>207</v>
      </c>
    </row>
    <row r="400" spans="1:5">
      <c r="A400" s="254"/>
      <c r="B400" s="3"/>
    </row>
    <row r="401" spans="1:2">
      <c r="A401" s="254"/>
      <c r="B401" s="3"/>
    </row>
    <row r="402" spans="1:2">
      <c r="A402" s="156" t="s">
        <v>266</v>
      </c>
      <c r="B402" s="3" t="s">
        <v>2</v>
      </c>
    </row>
    <row r="403" spans="1:2">
      <c r="A403" s="156" t="s">
        <v>267</v>
      </c>
      <c r="B403" s="3" t="s">
        <v>3</v>
      </c>
    </row>
    <row r="404" spans="1:2">
      <c r="A404" s="253">
        <v>42185</v>
      </c>
      <c r="B404" s="324" t="s">
        <v>195</v>
      </c>
    </row>
    <row r="405" spans="1:2">
      <c r="A405" s="156" t="s">
        <v>109</v>
      </c>
      <c r="B405" s="3" t="s">
        <v>196</v>
      </c>
    </row>
    <row r="406" spans="1:2">
      <c r="A406" s="254">
        <v>5.3</v>
      </c>
      <c r="B406" s="3" t="s">
        <v>197</v>
      </c>
    </row>
    <row r="407" spans="1:2">
      <c r="A407" s="254">
        <v>1.3</v>
      </c>
      <c r="B407" s="3" t="s">
        <v>198</v>
      </c>
    </row>
    <row r="408" spans="1:2">
      <c r="A408" s="158">
        <v>58441</v>
      </c>
      <c r="B408" s="3" t="s">
        <v>199</v>
      </c>
    </row>
    <row r="409" spans="1:2">
      <c r="A409" s="158">
        <v>14333</v>
      </c>
      <c r="B409" s="3" t="s">
        <v>200</v>
      </c>
    </row>
    <row r="410" spans="1:2">
      <c r="A410" s="158">
        <v>11027</v>
      </c>
      <c r="B410" s="3" t="s">
        <v>201</v>
      </c>
    </row>
    <row r="411" spans="1:2">
      <c r="A411" s="158">
        <v>11027</v>
      </c>
      <c r="B411" s="3" t="s">
        <v>202</v>
      </c>
    </row>
    <row r="412" spans="1:2">
      <c r="A412" s="158">
        <v>3306</v>
      </c>
      <c r="B412" s="3" t="s">
        <v>203</v>
      </c>
    </row>
    <row r="413" spans="1:2">
      <c r="A413" s="158">
        <v>0</v>
      </c>
      <c r="B413" s="3" t="s">
        <v>204</v>
      </c>
    </row>
    <row r="414" spans="1:2">
      <c r="A414" s="158">
        <v>0</v>
      </c>
      <c r="B414" s="3" t="s">
        <v>205</v>
      </c>
    </row>
    <row r="415" spans="1:2">
      <c r="A415" s="158">
        <v>0</v>
      </c>
      <c r="B415" s="3" t="s">
        <v>206</v>
      </c>
    </row>
    <row r="416" spans="1:2">
      <c r="A416" s="158">
        <v>0</v>
      </c>
      <c r="B416" s="3" t="s">
        <v>207</v>
      </c>
    </row>
    <row r="417" spans="1:2">
      <c r="A417" s="254"/>
      <c r="B417" s="3"/>
    </row>
    <row r="418" spans="1:2">
      <c r="A418" s="254"/>
      <c r="B418" s="3"/>
    </row>
    <row r="419" spans="1:2">
      <c r="A419" s="156" t="s">
        <v>266</v>
      </c>
      <c r="B419" s="3" t="s">
        <v>2</v>
      </c>
    </row>
    <row r="420" spans="1:2">
      <c r="A420" s="156" t="s">
        <v>267</v>
      </c>
      <c r="B420" s="3" t="s">
        <v>3</v>
      </c>
    </row>
    <row r="421" spans="1:2">
      <c r="A421" s="253">
        <v>41820</v>
      </c>
      <c r="B421" s="287" t="s">
        <v>195</v>
      </c>
    </row>
    <row r="422" spans="1:2">
      <c r="A422" s="156" t="s">
        <v>109</v>
      </c>
      <c r="B422" s="3" t="s">
        <v>196</v>
      </c>
    </row>
    <row r="423" spans="1:2">
      <c r="A423" s="254">
        <v>5.4</v>
      </c>
      <c r="B423" s="3" t="s">
        <v>197</v>
      </c>
    </row>
    <row r="424" spans="1:2">
      <c r="A424" s="254">
        <v>0.4</v>
      </c>
      <c r="B424" s="3" t="s">
        <v>198</v>
      </c>
    </row>
    <row r="425" spans="1:2">
      <c r="A425" s="158">
        <v>1821</v>
      </c>
      <c r="B425" s="3" t="s">
        <v>199</v>
      </c>
    </row>
    <row r="426" spans="1:2">
      <c r="A426" s="158">
        <v>136</v>
      </c>
      <c r="B426" s="3" t="s">
        <v>200</v>
      </c>
    </row>
    <row r="427" spans="1:2">
      <c r="A427" s="158">
        <v>337</v>
      </c>
      <c r="B427" s="3" t="s">
        <v>201</v>
      </c>
    </row>
    <row r="428" spans="1:2">
      <c r="A428" s="158">
        <v>136</v>
      </c>
      <c r="B428" s="3" t="s">
        <v>202</v>
      </c>
    </row>
    <row r="429" spans="1:2">
      <c r="A429" s="158">
        <v>0</v>
      </c>
      <c r="B429" s="3" t="s">
        <v>203</v>
      </c>
    </row>
    <row r="430" spans="1:2">
      <c r="A430" s="158">
        <v>0</v>
      </c>
      <c r="B430" s="3" t="s">
        <v>204</v>
      </c>
    </row>
    <row r="431" spans="1:2">
      <c r="A431" s="158">
        <v>0</v>
      </c>
      <c r="B431" s="3" t="s">
        <v>205</v>
      </c>
    </row>
    <row r="432" spans="1:2">
      <c r="A432" s="158">
        <v>0</v>
      </c>
      <c r="B432" s="3" t="s">
        <v>206</v>
      </c>
    </row>
    <row r="433" spans="1:2">
      <c r="A433" s="158">
        <v>0</v>
      </c>
      <c r="B433" s="3" t="s">
        <v>207</v>
      </c>
    </row>
    <row r="434" spans="1:2">
      <c r="A434" s="254"/>
      <c r="B434" s="3"/>
    </row>
    <row r="435" spans="1:2">
      <c r="A435" s="254"/>
      <c r="B435" s="3"/>
    </row>
    <row r="436" spans="1:2">
      <c r="A436" s="156" t="s">
        <v>266</v>
      </c>
      <c r="B436" s="3" t="s">
        <v>2</v>
      </c>
    </row>
    <row r="437" spans="1:2">
      <c r="A437" s="156" t="s">
        <v>267</v>
      </c>
      <c r="B437" s="3" t="s">
        <v>3</v>
      </c>
    </row>
    <row r="438" spans="1:2">
      <c r="A438" s="253">
        <v>41820</v>
      </c>
      <c r="B438" s="287" t="s">
        <v>195</v>
      </c>
    </row>
    <row r="439" spans="1:2">
      <c r="A439" s="156" t="s">
        <v>269</v>
      </c>
      <c r="B439" s="3" t="s">
        <v>196</v>
      </c>
    </row>
    <row r="440" spans="1:2">
      <c r="A440" s="254">
        <v>5.4</v>
      </c>
      <c r="B440" s="3" t="s">
        <v>197</v>
      </c>
    </row>
    <row r="441" spans="1:2">
      <c r="A441" s="254">
        <v>0.4</v>
      </c>
      <c r="B441" s="3" t="s">
        <v>198</v>
      </c>
    </row>
    <row r="442" spans="1:2">
      <c r="A442" s="158">
        <v>-35831</v>
      </c>
      <c r="B442" s="3" t="s">
        <v>199</v>
      </c>
    </row>
    <row r="443" spans="1:2">
      <c r="A443" s="158">
        <v>-2656</v>
      </c>
      <c r="B443" s="3" t="s">
        <v>200</v>
      </c>
    </row>
    <row r="444" spans="1:2">
      <c r="A444" s="158">
        <v>-6635</v>
      </c>
      <c r="B444" s="3" t="s">
        <v>201</v>
      </c>
    </row>
    <row r="445" spans="1:2">
      <c r="A445" s="158">
        <v>-2656</v>
      </c>
      <c r="B445" s="3" t="s">
        <v>202</v>
      </c>
    </row>
    <row r="446" spans="1:2">
      <c r="A446" s="158">
        <v>0</v>
      </c>
      <c r="B446" s="3" t="s">
        <v>203</v>
      </c>
    </row>
    <row r="447" spans="1:2">
      <c r="A447" s="158">
        <v>0</v>
      </c>
      <c r="B447" s="3" t="s">
        <v>204</v>
      </c>
    </row>
    <row r="448" spans="1:2">
      <c r="A448" s="158">
        <v>0</v>
      </c>
      <c r="B448" s="3" t="s">
        <v>205</v>
      </c>
    </row>
    <row r="449" spans="1:2">
      <c r="A449" s="158">
        <v>0</v>
      </c>
      <c r="B449" s="3" t="s">
        <v>206</v>
      </c>
    </row>
    <row r="450" spans="1:2">
      <c r="A450" s="158">
        <v>0</v>
      </c>
      <c r="B450" s="3" t="s">
        <v>207</v>
      </c>
    </row>
    <row r="451" spans="1:2">
      <c r="A451" s="254"/>
      <c r="B451" s="3"/>
    </row>
    <row r="452" spans="1:2">
      <c r="A452" s="254"/>
      <c r="B452" s="3"/>
    </row>
    <row r="453" spans="1:2">
      <c r="A453" s="156" t="s">
        <v>266</v>
      </c>
      <c r="B453" s="3" t="s">
        <v>2</v>
      </c>
    </row>
    <row r="454" spans="1:2">
      <c r="A454" s="156" t="s">
        <v>267</v>
      </c>
      <c r="B454" s="3" t="s">
        <v>3</v>
      </c>
    </row>
    <row r="455" spans="1:2">
      <c r="A455" s="253">
        <v>41455</v>
      </c>
      <c r="B455" s="290" t="s">
        <v>195</v>
      </c>
    </row>
    <row r="456" spans="1:2">
      <c r="A456" s="156" t="s">
        <v>109</v>
      </c>
      <c r="B456" s="3" t="s">
        <v>196</v>
      </c>
    </row>
    <row r="457" spans="1:2">
      <c r="A457" s="254">
        <v>5.6</v>
      </c>
      <c r="B457" s="3" t="s">
        <v>197</v>
      </c>
    </row>
    <row r="458" spans="1:2">
      <c r="A458" s="254">
        <v>0</v>
      </c>
      <c r="B458" s="3" t="s">
        <v>198</v>
      </c>
    </row>
    <row r="459" spans="1:2">
      <c r="A459" s="158">
        <v>18157</v>
      </c>
      <c r="B459" s="3" t="s">
        <v>199</v>
      </c>
    </row>
    <row r="460" spans="1:2">
      <c r="A460" s="158">
        <v>0</v>
      </c>
      <c r="B460" s="3" t="s">
        <v>200</v>
      </c>
    </row>
    <row r="461" spans="1:2">
      <c r="A461" s="158">
        <v>1947</v>
      </c>
      <c r="B461" s="3" t="s">
        <v>201</v>
      </c>
    </row>
    <row r="462" spans="1:2">
      <c r="A462" s="158">
        <v>0</v>
      </c>
      <c r="B462" s="3" t="s">
        <v>202</v>
      </c>
    </row>
    <row r="463" spans="1:2">
      <c r="A463" s="158">
        <v>0</v>
      </c>
      <c r="B463" s="3" t="s">
        <v>203</v>
      </c>
    </row>
    <row r="464" spans="1:2">
      <c r="A464" s="158">
        <v>0</v>
      </c>
      <c r="B464" s="3" t="s">
        <v>204</v>
      </c>
    </row>
    <row r="465" spans="1:2">
      <c r="A465" s="158">
        <v>0</v>
      </c>
      <c r="B465" s="3" t="s">
        <v>205</v>
      </c>
    </row>
    <row r="466" spans="1:2">
      <c r="A466" s="158">
        <v>0</v>
      </c>
      <c r="B466" s="3" t="s">
        <v>206</v>
      </c>
    </row>
    <row r="467" spans="1:2" ht="15" thickBot="1">
      <c r="A467" s="163">
        <v>0</v>
      </c>
      <c r="B467" s="4" t="s">
        <v>207</v>
      </c>
    </row>
  </sheetData>
  <hyperlinks>
    <hyperlink ref="B3" r:id="rId1" xr:uid="{AD592467-146E-485D-8DF5-963ED51C75B5}"/>
  </hyperlinks>
  <printOptions horizontalCentered="1" verticalCentered="1"/>
  <pageMargins left="0.7" right="0.7" top="0.5" bottom="0.5" header="0.3" footer="0.3"/>
  <pageSetup scale="26" fitToHeight="2"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G36"/>
  <sheetViews>
    <sheetView topLeftCell="A7" workbookViewId="0">
      <selection activeCell="G22" sqref="G22"/>
    </sheetView>
  </sheetViews>
  <sheetFormatPr defaultRowHeight="14.4"/>
  <cols>
    <col min="1" max="1" width="41.33203125" customWidth="1"/>
    <col min="2" max="2" width="23.109375" customWidth="1"/>
    <col min="3" max="3" width="14.88671875" bestFit="1" customWidth="1"/>
    <col min="4" max="4" width="21.88671875" customWidth="1"/>
    <col min="5" max="5" width="13.6640625" bestFit="1" customWidth="1"/>
    <col min="6" max="6" width="12.6640625" customWidth="1"/>
    <col min="7" max="7" width="16.6640625" bestFit="1" customWidth="1"/>
  </cols>
  <sheetData>
    <row r="1" spans="1:6">
      <c r="A1" t="str">
        <f>'Lead Sheet'!A1</f>
        <v>City of***</v>
      </c>
    </row>
    <row r="2" spans="1:6">
      <c r="A2" t="s">
        <v>250</v>
      </c>
    </row>
    <row r="3" spans="1:6">
      <c r="A3" s="232">
        <f>'Lead Sheet'!A3</f>
        <v>44012</v>
      </c>
    </row>
    <row r="8" spans="1:6">
      <c r="A8" s="122" t="s">
        <v>361</v>
      </c>
      <c r="B8" s="182">
        <f>'State Schedule'!D9</f>
        <v>6.4690599999999994E-5</v>
      </c>
      <c r="C8" s="128"/>
      <c r="D8" s="122"/>
      <c r="E8" s="122"/>
      <c r="F8" s="122"/>
    </row>
    <row r="9" spans="1:6">
      <c r="A9" s="122" t="s">
        <v>388</v>
      </c>
      <c r="B9" s="182">
        <f>'State Schedule'!D10</f>
        <v>8.5192599999999995E-5</v>
      </c>
      <c r="C9" s="129"/>
      <c r="D9" s="122"/>
      <c r="E9" s="122"/>
      <c r="F9" s="122"/>
    </row>
    <row r="10" spans="1:6" ht="15" thickBot="1">
      <c r="A10" s="122"/>
      <c r="B10" s="122"/>
      <c r="C10" s="122"/>
      <c r="D10" s="122"/>
      <c r="E10" s="122"/>
      <c r="F10" s="122"/>
    </row>
    <row r="11" spans="1:6" ht="15" thickBot="1">
      <c r="A11" s="122"/>
      <c r="B11" s="122"/>
      <c r="C11" s="376"/>
      <c r="D11" s="377"/>
      <c r="E11" s="378"/>
      <c r="F11" s="122"/>
    </row>
    <row r="12" spans="1:6">
      <c r="A12" s="122"/>
      <c r="B12" s="295" t="s">
        <v>54</v>
      </c>
      <c r="C12" s="264" t="s">
        <v>389</v>
      </c>
      <c r="D12" s="265">
        <v>43646</v>
      </c>
      <c r="E12" s="126" t="s">
        <v>215</v>
      </c>
      <c r="F12" s="122"/>
    </row>
    <row r="13" spans="1:6">
      <c r="A13" s="123" t="s">
        <v>216</v>
      </c>
      <c r="B13" s="125" t="s">
        <v>217</v>
      </c>
      <c r="C13" s="130" t="s">
        <v>218</v>
      </c>
      <c r="D13" s="125" t="s">
        <v>219</v>
      </c>
      <c r="E13" s="125" t="s">
        <v>220</v>
      </c>
      <c r="F13" s="122"/>
    </row>
    <row r="14" spans="1:6">
      <c r="A14" s="122" t="s">
        <v>298</v>
      </c>
      <c r="F14" s="127"/>
    </row>
    <row r="15" spans="1:6">
      <c r="A15" s="122"/>
      <c r="B15" s="124"/>
      <c r="C15" s="221"/>
      <c r="D15" s="124"/>
      <c r="E15" s="124"/>
      <c r="F15" s="127"/>
    </row>
    <row r="16" spans="1:6">
      <c r="A16" s="122" t="s">
        <v>221</v>
      </c>
      <c r="B16" s="124"/>
      <c r="D16" s="124"/>
      <c r="E16" s="124"/>
      <c r="F16" s="127"/>
    </row>
    <row r="17" spans="1:6">
      <c r="A17" s="82" t="s">
        <v>349</v>
      </c>
      <c r="B17" s="256">
        <v>1797547603</v>
      </c>
      <c r="C17" s="124">
        <f t="shared" ref="C17:C24" si="0">ROUND((B17*$B$8),0)</f>
        <v>116284</v>
      </c>
      <c r="D17" s="124">
        <f t="shared" ref="D17:D24" si="1">ROUND(B17*$B$9,)</f>
        <v>153138</v>
      </c>
      <c r="E17" s="124">
        <f t="shared" ref="E17:E24" si="2">D17-C17</f>
        <v>36854</v>
      </c>
      <c r="F17" s="127"/>
    </row>
    <row r="18" spans="1:6">
      <c r="A18" s="82" t="s">
        <v>350</v>
      </c>
      <c r="B18" s="256">
        <v>519210097</v>
      </c>
      <c r="C18" s="124">
        <f t="shared" si="0"/>
        <v>33588</v>
      </c>
      <c r="D18" s="124">
        <f t="shared" si="1"/>
        <v>44233</v>
      </c>
      <c r="E18" s="124">
        <f t="shared" si="2"/>
        <v>10645</v>
      </c>
      <c r="F18" s="127"/>
    </row>
    <row r="19" spans="1:6">
      <c r="A19" s="82" t="s">
        <v>391</v>
      </c>
      <c r="B19" s="256">
        <v>60031715</v>
      </c>
      <c r="C19" s="124">
        <f t="shared" ref="C19" si="3">ROUND((B19*$B$8),0)</f>
        <v>3883</v>
      </c>
      <c r="D19" s="124">
        <f t="shared" ref="D19" si="4">ROUND(B19*$B$9,)</f>
        <v>5114</v>
      </c>
      <c r="E19" s="124">
        <f t="shared" ref="E19" si="5">D19-C19</f>
        <v>1231</v>
      </c>
      <c r="F19" s="127"/>
    </row>
    <row r="20" spans="1:6">
      <c r="A20" s="82" t="s">
        <v>363</v>
      </c>
      <c r="B20" s="256">
        <v>219074125</v>
      </c>
      <c r="C20" s="124">
        <f t="shared" si="0"/>
        <v>14172</v>
      </c>
      <c r="D20" s="124">
        <f t="shared" si="1"/>
        <v>18663</v>
      </c>
      <c r="E20" s="124">
        <f t="shared" si="2"/>
        <v>4491</v>
      </c>
      <c r="F20" s="127"/>
    </row>
    <row r="21" spans="1:6">
      <c r="A21" s="82" t="s">
        <v>351</v>
      </c>
      <c r="B21" s="256">
        <v>137695202</v>
      </c>
      <c r="C21" s="124">
        <f t="shared" si="0"/>
        <v>8908</v>
      </c>
      <c r="D21" s="124">
        <f t="shared" si="1"/>
        <v>11731</v>
      </c>
      <c r="E21" s="124">
        <f t="shared" si="2"/>
        <v>2823</v>
      </c>
      <c r="F21" s="127"/>
    </row>
    <row r="22" spans="1:6">
      <c r="A22" s="82" t="s">
        <v>352</v>
      </c>
      <c r="B22" s="256">
        <v>98511847</v>
      </c>
      <c r="C22" s="124">
        <f>ROUND((B22*$B$8),0)</f>
        <v>6373</v>
      </c>
      <c r="D22" s="124">
        <f>ROUND(B22*$B$9,)</f>
        <v>8392</v>
      </c>
      <c r="E22" s="124">
        <f t="shared" si="2"/>
        <v>2019</v>
      </c>
      <c r="F22" s="127"/>
    </row>
    <row r="23" spans="1:6">
      <c r="A23" s="82" t="s">
        <v>392</v>
      </c>
      <c r="B23" s="256">
        <v>1809466680</v>
      </c>
      <c r="C23" s="124">
        <f t="shared" ref="C23" si="6">ROUND((B23*$B$8),0)</f>
        <v>117055</v>
      </c>
      <c r="D23" s="124">
        <f t="shared" ref="D23" si="7">ROUND(B23*$B$9,)</f>
        <v>154153</v>
      </c>
      <c r="E23" s="124">
        <f t="shared" ref="E23" si="8">D23-C23</f>
        <v>37098</v>
      </c>
      <c r="F23" s="127"/>
    </row>
    <row r="24" spans="1:6">
      <c r="A24" s="82" t="s">
        <v>353</v>
      </c>
      <c r="B24" s="256">
        <v>1712573323</v>
      </c>
      <c r="C24" s="124">
        <f t="shared" si="0"/>
        <v>110787</v>
      </c>
      <c r="D24" s="124">
        <f t="shared" si="1"/>
        <v>145899</v>
      </c>
      <c r="E24" s="124">
        <f t="shared" si="2"/>
        <v>35112</v>
      </c>
      <c r="F24" s="127"/>
    </row>
    <row r="25" spans="1:6">
      <c r="A25" s="82" t="s">
        <v>299</v>
      </c>
      <c r="B25" s="256"/>
      <c r="C25" s="144">
        <f>'FY19 Entries'!M52</f>
        <v>178900</v>
      </c>
      <c r="D25" s="124"/>
      <c r="E25" s="124"/>
      <c r="F25" s="127"/>
    </row>
    <row r="26" spans="1:6">
      <c r="A26" s="122"/>
      <c r="B26" s="124"/>
      <c r="C26" s="221" t="s">
        <v>256</v>
      </c>
      <c r="D26" s="124"/>
      <c r="E26" s="124"/>
      <c r="F26" s="127"/>
    </row>
    <row r="27" spans="1:6">
      <c r="A27" s="122" t="s">
        <v>222</v>
      </c>
      <c r="B27" s="124">
        <v>-15148682852</v>
      </c>
      <c r="C27" s="124">
        <f>ROUND((B27*$B$8),0)</f>
        <v>-979977</v>
      </c>
      <c r="D27" s="124">
        <f>ROUND(B27*$B$9,)</f>
        <v>-1290556</v>
      </c>
      <c r="E27" s="124">
        <f>D27-C27</f>
        <v>-310579</v>
      </c>
      <c r="F27" s="127"/>
    </row>
    <row r="28" spans="1:6">
      <c r="A28" s="122"/>
      <c r="B28" s="124"/>
      <c r="C28" s="124"/>
      <c r="D28" s="124"/>
      <c r="E28" s="124"/>
      <c r="F28" s="127"/>
    </row>
    <row r="29" spans="1:6">
      <c r="A29" s="122" t="s">
        <v>223</v>
      </c>
      <c r="B29" s="124"/>
      <c r="C29" s="124"/>
      <c r="D29" s="124"/>
      <c r="E29" s="124"/>
      <c r="F29" s="127"/>
    </row>
    <row r="30" spans="1:6">
      <c r="A30" s="82" t="s">
        <v>390</v>
      </c>
      <c r="B30" s="280">
        <v>-1112640830</v>
      </c>
      <c r="C30" s="124">
        <f>ROUND((B30*$B$8),0)</f>
        <v>-71977</v>
      </c>
      <c r="D30" s="124">
        <f>ROUND(B30*$B$9,)</f>
        <v>-94789</v>
      </c>
      <c r="E30" s="124">
        <f>D30-C30</f>
        <v>-22812</v>
      </c>
      <c r="F30" s="127"/>
    </row>
    <row r="31" spans="1:6">
      <c r="A31" s="82" t="s">
        <v>362</v>
      </c>
      <c r="B31" s="280">
        <v>-1876803996</v>
      </c>
      <c r="C31" s="124">
        <f>ROUND((B31*$B$8),0)</f>
        <v>-121412</v>
      </c>
      <c r="D31" s="124">
        <f>ROUND(B31*$B$9,)</f>
        <v>-159890</v>
      </c>
      <c r="E31" s="124">
        <f>D31-C31</f>
        <v>-38478</v>
      </c>
      <c r="F31" s="127"/>
    </row>
    <row r="32" spans="1:6">
      <c r="A32" s="122"/>
      <c r="B32" s="124"/>
      <c r="C32" s="124"/>
      <c r="D32" s="124"/>
      <c r="E32" s="124"/>
      <c r="F32" s="127"/>
    </row>
    <row r="33" spans="1:7">
      <c r="A33" s="122"/>
      <c r="B33" s="124"/>
      <c r="D33" s="132" t="s">
        <v>42</v>
      </c>
      <c r="E33" s="340">
        <f>SUM(E15:E31)+1</f>
        <v>-241595</v>
      </c>
      <c r="F33" s="131" t="s">
        <v>354</v>
      </c>
      <c r="G33" s="150">
        <f>E33+'From PERS'!A274</f>
        <v>0</v>
      </c>
    </row>
    <row r="34" spans="1:7">
      <c r="A34" s="122"/>
      <c r="B34" s="124"/>
      <c r="C34" s="124"/>
      <c r="D34" s="124"/>
      <c r="F34" s="131"/>
      <c r="G34" s="127"/>
    </row>
    <row r="35" spans="1:7">
      <c r="A35" s="123"/>
      <c r="B35" s="124"/>
      <c r="C35" s="124"/>
      <c r="D35" s="132" t="s">
        <v>224</v>
      </c>
      <c r="E35" s="124">
        <f>ROUND(E33/'From PERS'!A92,0)</f>
        <v>-46461</v>
      </c>
      <c r="F35" s="131" t="s">
        <v>355</v>
      </c>
      <c r="G35" s="150">
        <f>E35+'From PERS'!A291</f>
        <v>0</v>
      </c>
    </row>
    <row r="36" spans="1:7">
      <c r="A36" s="122"/>
      <c r="B36" s="124"/>
      <c r="C36" s="124"/>
      <c r="D36" s="132" t="s">
        <v>226</v>
      </c>
      <c r="E36" s="124">
        <f>E33-E35</f>
        <v>-195134</v>
      </c>
      <c r="F36" s="131" t="s">
        <v>355</v>
      </c>
      <c r="G36" s="150">
        <f>E36+'From PERS'!A290</f>
        <v>0</v>
      </c>
    </row>
  </sheetData>
  <mergeCells count="1">
    <mergeCell ref="C11:E11"/>
  </mergeCells>
  <pageMargins left="0.7" right="0.7" top="0.75" bottom="0.75" header="0.3" footer="0.3"/>
  <pageSetup scale="70"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3"/>
  <sheetViews>
    <sheetView showGridLines="0" workbookViewId="0">
      <selection activeCell="H15" sqref="H15"/>
    </sheetView>
  </sheetViews>
  <sheetFormatPr defaultColWidth="9.109375" defaultRowHeight="13.8"/>
  <cols>
    <col min="1" max="1" width="42.33203125" style="99" customWidth="1"/>
    <col min="2" max="2" width="4.6640625" style="99" customWidth="1"/>
    <col min="3" max="3" width="18.6640625" style="99" customWidth="1"/>
    <col min="4" max="4" width="3.6640625" style="99" customWidth="1"/>
    <col min="5" max="5" width="17.6640625" style="99" customWidth="1"/>
    <col min="6" max="6" width="9.109375" style="99"/>
    <col min="7" max="7" width="19.44140625" style="99" customWidth="1"/>
    <col min="8" max="8" width="10.5546875" style="99" customWidth="1"/>
    <col min="9" max="9" width="9.109375" style="99"/>
    <col min="10" max="10" width="19" style="99" bestFit="1" customWidth="1"/>
    <col min="11" max="11" width="3.6640625" style="99" customWidth="1"/>
    <col min="12" max="12" width="18.88671875" style="99" customWidth="1"/>
    <col min="13" max="13" width="3.6640625" style="99" customWidth="1"/>
    <col min="14" max="14" width="19" style="99" customWidth="1"/>
    <col min="15" max="16384" width="9.109375" style="99"/>
  </cols>
  <sheetData>
    <row r="1" spans="1:7" ht="27.6">
      <c r="A1" s="98"/>
      <c r="B1" s="98"/>
      <c r="C1" s="298" t="s">
        <v>60</v>
      </c>
      <c r="D1" s="299"/>
      <c r="E1" s="298" t="s">
        <v>61</v>
      </c>
    </row>
    <row r="2" spans="1:7" ht="27.6">
      <c r="A2" s="61" t="s">
        <v>396</v>
      </c>
      <c r="B2" s="100"/>
      <c r="C2" s="101">
        <f>'State Schedule'!C26</f>
        <v>81266</v>
      </c>
      <c r="D2" s="98"/>
      <c r="E2" s="101">
        <f>'State Schedule'!D26</f>
        <v>0</v>
      </c>
    </row>
    <row r="3" spans="1:7">
      <c r="A3" s="61" t="s">
        <v>397</v>
      </c>
      <c r="B3" s="100"/>
      <c r="C3" s="102">
        <f>'State Schedule'!C27</f>
        <v>199914</v>
      </c>
      <c r="D3" s="102"/>
      <c r="E3" s="102">
        <f>'State Schedule'!D27</f>
        <v>0</v>
      </c>
    </row>
    <row r="4" spans="1:7" ht="27.6">
      <c r="A4" s="60" t="s">
        <v>147</v>
      </c>
      <c r="B4" s="100"/>
      <c r="C4" s="102">
        <f>'State Schedule'!C28</f>
        <v>0</v>
      </c>
      <c r="D4" s="102"/>
      <c r="E4" s="102">
        <f>'State Schedule'!D28</f>
        <v>41776</v>
      </c>
    </row>
    <row r="5" spans="1:7">
      <c r="A5" s="61" t="s">
        <v>398</v>
      </c>
      <c r="B5" s="100"/>
      <c r="C5" s="102">
        <f>'State Schedule'!C29</f>
        <v>201896</v>
      </c>
      <c r="D5" s="102"/>
      <c r="E5" s="102">
        <f>'State Schedule'!D29</f>
        <v>150137</v>
      </c>
    </row>
    <row r="6" spans="1:7" ht="27.6">
      <c r="A6" s="61" t="s">
        <v>399</v>
      </c>
      <c r="B6" s="100"/>
      <c r="C6" s="188">
        <f>'State Schedule'!C30</f>
        <v>74514</v>
      </c>
      <c r="D6" s="102"/>
      <c r="E6" s="188">
        <f>'State Schedule'!D30</f>
        <v>0</v>
      </c>
    </row>
    <row r="7" spans="1:7">
      <c r="A7" s="61" t="s">
        <v>51</v>
      </c>
      <c r="C7" s="102">
        <f>'State Schedule'!C31</f>
        <v>557590</v>
      </c>
      <c r="E7" s="102">
        <f>'State Schedule'!D31</f>
        <v>191913</v>
      </c>
      <c r="G7" s="141"/>
    </row>
    <row r="8" spans="1:7">
      <c r="A8" s="60" t="s">
        <v>400</v>
      </c>
      <c r="C8" s="102">
        <f>'State Schedule'!C32</f>
        <v>217341</v>
      </c>
      <c r="E8" s="102">
        <f>'State Schedule'!D32</f>
        <v>0</v>
      </c>
    </row>
    <row r="9" spans="1:7" ht="7.95" customHeight="1">
      <c r="A9" s="60"/>
      <c r="B9" s="100"/>
      <c r="C9" s="103"/>
      <c r="D9" s="102"/>
      <c r="E9" s="103"/>
    </row>
    <row r="10" spans="1:7" ht="14.4" thickBot="1">
      <c r="A10" s="104" t="s">
        <v>62</v>
      </c>
      <c r="B10" s="104"/>
      <c r="C10" s="105">
        <f>SUM(C7:C8)</f>
        <v>774931</v>
      </c>
      <c r="D10" s="98"/>
      <c r="E10" s="105">
        <f>SUM(E7:E8)</f>
        <v>191913</v>
      </c>
      <c r="G10" s="51">
        <f>C10-E10-'State Schedule'!$D$34</f>
        <v>0</v>
      </c>
    </row>
    <row r="11" spans="1:7" ht="10.5" customHeight="1" thickTop="1">
      <c r="A11" s="98"/>
      <c r="B11" s="98"/>
      <c r="C11" s="98"/>
      <c r="D11" s="98"/>
      <c r="E11" s="98"/>
    </row>
    <row r="13" spans="1:7">
      <c r="C13" s="51">
        <f>C10-'Lead Sheet'!I47</f>
        <v>0</v>
      </c>
      <c r="E13" s="51">
        <f>E10+'Lead Sheet'!I48</f>
        <v>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AF41"/>
  <sheetViews>
    <sheetView workbookViewId="0">
      <selection activeCell="I11" sqref="I11"/>
    </sheetView>
  </sheetViews>
  <sheetFormatPr defaultColWidth="9.109375" defaultRowHeight="14.4"/>
  <cols>
    <col min="1" max="1" width="10.88671875" style="99" customWidth="1"/>
    <col min="2" max="2" width="14.109375" style="99" customWidth="1"/>
    <col min="3" max="4" width="12.44140625" style="99" customWidth="1"/>
    <col min="5" max="8" width="11.88671875" style="99" customWidth="1"/>
    <col min="9" max="9" width="12.5546875" style="99" customWidth="1"/>
    <col min="10" max="10" width="12" style="99" customWidth="1"/>
    <col min="11" max="11" width="12.88671875" style="99" customWidth="1"/>
    <col min="12" max="12" width="12.6640625" style="99" customWidth="1"/>
    <col min="13" max="13" width="12" style="99" customWidth="1"/>
    <col min="14" max="14" width="12.109375" style="99" customWidth="1"/>
    <col min="15" max="15" width="18.109375" style="99" customWidth="1"/>
    <col min="16" max="16" width="8.88671875" style="99" bestFit="1" customWidth="1"/>
    <col min="17" max="17" width="8.6640625" style="99" customWidth="1"/>
    <col min="18" max="18" width="11.88671875" customWidth="1"/>
    <col min="19" max="20" width="12.6640625" style="99" customWidth="1"/>
    <col min="21" max="21" width="12.44140625" style="99" customWidth="1"/>
    <col min="22" max="22" width="12.6640625" style="99" customWidth="1"/>
    <col min="23" max="25" width="12.44140625" style="99" customWidth="1"/>
    <col min="26" max="26" width="12.109375" style="99" customWidth="1"/>
    <col min="27" max="27" width="12.33203125" style="99" bestFit="1" customWidth="1"/>
    <col min="28" max="28" width="14" style="99" customWidth="1"/>
    <col min="29" max="29" width="11.88671875" style="99" customWidth="1"/>
    <col min="30" max="30" width="18.109375" style="99" customWidth="1"/>
    <col min="31" max="31" width="8.88671875" style="99" bestFit="1" customWidth="1"/>
    <col min="32" max="32" width="12.6640625" style="99" customWidth="1"/>
    <col min="33" max="34" width="12" style="99" customWidth="1"/>
    <col min="35" max="35" width="12.33203125" style="99" customWidth="1"/>
    <col min="36" max="36" width="10.33203125" style="99" bestFit="1" customWidth="1"/>
    <col min="37" max="16384" width="9.109375" style="99"/>
  </cols>
  <sheetData>
    <row r="1" spans="1:32">
      <c r="A1" s="322" t="s">
        <v>211</v>
      </c>
      <c r="J1"/>
      <c r="R1" s="322" t="s">
        <v>227</v>
      </c>
    </row>
    <row r="2" spans="1:32" ht="13.8">
      <c r="D2" s="289">
        <f>'From PERS'!A455</f>
        <v>41455</v>
      </c>
      <c r="E2" s="383">
        <f>'From PERS'!A421</f>
        <v>41820</v>
      </c>
      <c r="F2" s="383"/>
      <c r="G2" s="384">
        <f>'From PERS'!A387</f>
        <v>42185</v>
      </c>
      <c r="H2" s="384"/>
      <c r="I2" s="382">
        <f>'From PERS'!A353</f>
        <v>42551</v>
      </c>
      <c r="J2" s="382"/>
      <c r="K2" s="379">
        <f>'From PERS'!A319</f>
        <v>42916</v>
      </c>
      <c r="L2" s="379"/>
      <c r="M2" s="380">
        <f>'From PERS'!A285</f>
        <v>43281</v>
      </c>
      <c r="N2" s="380"/>
      <c r="R2" s="99"/>
      <c r="S2" s="289">
        <f>'From PERS'!A455</f>
        <v>41455</v>
      </c>
      <c r="T2" s="383">
        <f>'From PERS'!A387</f>
        <v>42185</v>
      </c>
      <c r="U2" s="383"/>
      <c r="V2" s="384">
        <f>'From PERS'!A387</f>
        <v>42185</v>
      </c>
      <c r="W2" s="384"/>
      <c r="X2" s="382">
        <f>'From PERS'!A353</f>
        <v>42551</v>
      </c>
      <c r="Y2" s="382"/>
      <c r="Z2" s="379">
        <f>'From PERS'!A319</f>
        <v>42916</v>
      </c>
      <c r="AA2" s="379"/>
      <c r="AB2" s="380">
        <f>'From PERS'!A285</f>
        <v>43281</v>
      </c>
      <c r="AC2" s="380"/>
    </row>
    <row r="3" spans="1:32" ht="55.2">
      <c r="A3" s="381" t="s">
        <v>47</v>
      </c>
      <c r="B3" s="121" t="s">
        <v>249</v>
      </c>
      <c r="C3" s="121" t="s">
        <v>297</v>
      </c>
      <c r="D3" s="121" t="s">
        <v>252</v>
      </c>
      <c r="E3" s="121" t="s">
        <v>252</v>
      </c>
      <c r="F3" s="121" t="s">
        <v>253</v>
      </c>
      <c r="G3" s="320" t="s">
        <v>252</v>
      </c>
      <c r="H3" s="320" t="s">
        <v>253</v>
      </c>
      <c r="I3" s="121" t="s">
        <v>252</v>
      </c>
      <c r="J3" s="121" t="s">
        <v>253</v>
      </c>
      <c r="K3" s="121" t="s">
        <v>252</v>
      </c>
      <c r="L3" s="121" t="s">
        <v>253</v>
      </c>
      <c r="M3" s="121" t="s">
        <v>252</v>
      </c>
      <c r="N3" s="121" t="s">
        <v>253</v>
      </c>
      <c r="O3" s="288" t="s">
        <v>147</v>
      </c>
      <c r="P3" s="99" t="s">
        <v>62</v>
      </c>
      <c r="R3" s="381" t="s">
        <v>47</v>
      </c>
      <c r="S3" s="121" t="s">
        <v>252</v>
      </c>
      <c r="T3" s="121" t="s">
        <v>252</v>
      </c>
      <c r="U3" s="121" t="s">
        <v>253</v>
      </c>
      <c r="V3" s="320" t="s">
        <v>252</v>
      </c>
      <c r="W3" s="320" t="s">
        <v>253</v>
      </c>
      <c r="X3" s="320" t="s">
        <v>252</v>
      </c>
      <c r="Y3" s="320" t="s">
        <v>253</v>
      </c>
      <c r="Z3" s="121" t="s">
        <v>252</v>
      </c>
      <c r="AA3" s="121" t="s">
        <v>253</v>
      </c>
      <c r="AB3" s="121" t="s">
        <v>252</v>
      </c>
      <c r="AC3" s="121" t="s">
        <v>253</v>
      </c>
      <c r="AD3" s="288" t="s">
        <v>147</v>
      </c>
      <c r="AE3" s="99" t="s">
        <v>62</v>
      </c>
    </row>
    <row r="4" spans="1:32" ht="13.8">
      <c r="A4" s="381"/>
      <c r="B4" s="148">
        <v>5.4</v>
      </c>
      <c r="C4" s="258">
        <v>5</v>
      </c>
      <c r="D4" s="258">
        <f>'From PERS'!A457</f>
        <v>5.6</v>
      </c>
      <c r="E4" s="325">
        <v>5.4</v>
      </c>
      <c r="F4" s="325">
        <v>5.4</v>
      </c>
      <c r="G4" s="258">
        <f>'From PERS'!A406</f>
        <v>5.3</v>
      </c>
      <c r="H4" s="258">
        <f>'From PERS'!A389</f>
        <v>5.3</v>
      </c>
      <c r="I4" s="148">
        <f>'From PERS'!A372</f>
        <v>5.3</v>
      </c>
      <c r="J4" s="148">
        <f>'From PERS'!A355</f>
        <v>5.3</v>
      </c>
      <c r="K4" s="148">
        <f>'From PERS'!A338</f>
        <v>5.2</v>
      </c>
      <c r="L4" s="148">
        <f>'From PERS'!A321</f>
        <v>5.2</v>
      </c>
      <c r="M4" s="148">
        <f>'From PERS'!A304</f>
        <v>5.2</v>
      </c>
      <c r="N4" s="148">
        <f>'From PERS'!A304</f>
        <v>5.2</v>
      </c>
      <c r="O4" s="148"/>
      <c r="R4" s="381"/>
      <c r="S4" s="325">
        <f>D4</f>
        <v>5.6</v>
      </c>
      <c r="T4" s="325">
        <f>F4</f>
        <v>5.4</v>
      </c>
      <c r="U4" s="325">
        <f>B4</f>
        <v>5.4</v>
      </c>
      <c r="V4" s="325">
        <v>5.3</v>
      </c>
      <c r="W4" s="325">
        <v>5.3</v>
      </c>
      <c r="X4" s="326">
        <v>5.3</v>
      </c>
      <c r="Y4" s="326">
        <v>5.3</v>
      </c>
      <c r="Z4" s="325">
        <f>J4</f>
        <v>5.3</v>
      </c>
      <c r="AA4" s="325">
        <f>K4</f>
        <v>5.2</v>
      </c>
      <c r="AB4" s="325">
        <f>L4</f>
        <v>5.2</v>
      </c>
      <c r="AC4" s="325">
        <f>M4</f>
        <v>5.2</v>
      </c>
      <c r="AD4" s="149"/>
    </row>
    <row r="5" spans="1:32">
      <c r="A5" s="226"/>
      <c r="B5" s="121"/>
      <c r="C5"/>
      <c r="D5" s="259"/>
      <c r="E5" s="121"/>
      <c r="F5" s="259"/>
      <c r="G5" s="259"/>
      <c r="H5" s="259"/>
      <c r="I5" s="121"/>
      <c r="J5" s="121"/>
      <c r="K5" s="121"/>
      <c r="L5" s="121"/>
      <c r="M5" s="121"/>
      <c r="N5" s="121"/>
      <c r="O5" s="121"/>
      <c r="R5" s="226"/>
      <c r="S5" s="121"/>
      <c r="U5" s="121"/>
      <c r="W5" s="320"/>
      <c r="X5" s="320"/>
      <c r="Y5" s="320"/>
      <c r="Z5" s="121"/>
      <c r="AA5" s="121"/>
      <c r="AB5" s="121"/>
      <c r="AC5" s="121"/>
      <c r="AD5" s="121"/>
    </row>
    <row r="6" spans="1:32" ht="13.8">
      <c r="A6" s="226" t="s">
        <v>213</v>
      </c>
      <c r="B6" s="141">
        <f>ROUND('From PERS'!A213/4.4,)</f>
        <v>18470</v>
      </c>
      <c r="C6" s="141">
        <f>ROUND(('From PERS'!A163+'From PERS'!A191)*'From PERS'!$A$206,0)</f>
        <v>100137</v>
      </c>
      <c r="D6" s="141">
        <f>IF('From PERS'!A461&gt;0,'From PERS'!A461,0)</f>
        <v>1947</v>
      </c>
      <c r="E6" s="141">
        <f>IF('From PERS'!A427&gt;0,'From PERS'!A427,0)</f>
        <v>337</v>
      </c>
      <c r="F6" s="141">
        <f>IF('From PERS'!A444&gt;0,'From PERS'!A444,0)</f>
        <v>0</v>
      </c>
      <c r="G6" s="141">
        <f>ROUND(IF('From PERS'!A410&gt;0,'From PERS'!A410,0),0)</f>
        <v>11027</v>
      </c>
      <c r="H6" s="141">
        <f>ROUND(IF('From PERS'!A393&gt;0,'From PERS'!A393,0),0)</f>
        <v>3493</v>
      </c>
      <c r="I6" s="141">
        <f>ROUND(IF('From PERS'!A376&gt;0,'From PERS'!A376,0),0)</f>
        <v>5876</v>
      </c>
      <c r="J6" s="141">
        <f>ROUND(IF('From PERS'!A359&gt;0,'From PERS'!A359,0),0)</f>
        <v>966</v>
      </c>
      <c r="K6" s="141">
        <f>ROUND(IF('From PERS'!A342&gt;0,'From PERS'!A342,0),0)</f>
        <v>12930</v>
      </c>
      <c r="L6" s="141">
        <f>ROUND(IF('From PERS'!A325&gt;0,'From PERS'!A325,0),0)</f>
        <v>0</v>
      </c>
      <c r="M6" s="141">
        <f>IF('From PERS'!A308&gt;0,'From PERS'!A308,0)</f>
        <v>1228</v>
      </c>
      <c r="N6" s="141">
        <f>IF('From PERS'!A291&gt;0,'From PERS'!A291,0)</f>
        <v>46461</v>
      </c>
      <c r="O6" s="141">
        <f>IF($G$35&gt;0,G28,0)</f>
        <v>0</v>
      </c>
      <c r="P6" s="134">
        <f>SUM(B6:O6)</f>
        <v>202872</v>
      </c>
      <c r="R6" s="226" t="str">
        <f>A6</f>
        <v>FY2020</v>
      </c>
      <c r="S6" s="141">
        <f>IF('From PERS'!A461&lt;0,-'From PERS'!A461,0)</f>
        <v>0</v>
      </c>
      <c r="T6" s="141">
        <f>IF('From PERS'!A427&lt;0,-'From PERS'!A427,0)</f>
        <v>0</v>
      </c>
      <c r="U6" s="141">
        <f>IF('From PERS'!A444&lt;0,-'From PERS'!A444,0)</f>
        <v>6635</v>
      </c>
      <c r="V6" s="141">
        <f>ROUND(IF('From PERS'!A410&lt;0,-'From PERS'!A410,0),0)</f>
        <v>0</v>
      </c>
      <c r="W6" s="141">
        <f>ROUND(IF('From PERS'!A393&lt;0,-'From PERS'!A393,0),0)</f>
        <v>0</v>
      </c>
      <c r="X6" s="141">
        <f>ROUND(IF('From PERS'!A376&lt;0,-'From PERS'!A376,0),0)</f>
        <v>0</v>
      </c>
      <c r="Y6" s="141">
        <f>ROUND(IF('From PERS'!A359&lt;0,-'From PERS'!A359,0),0)</f>
        <v>0</v>
      </c>
      <c r="Z6" s="248">
        <f>ROUND(IF('From PERS'!A342&lt;0,-'From PERS'!A342,0),0)</f>
        <v>0</v>
      </c>
      <c r="AA6" s="248">
        <f>ROUND(IF('From PERS'!A325&lt;0,-'From PERS'!A325,0),0)</f>
        <v>46088</v>
      </c>
      <c r="AB6" s="248">
        <f>IF('From PERS'!A308&lt;0,-'From PERS'!A308,0)</f>
        <v>0</v>
      </c>
      <c r="AC6" s="248">
        <f>IF('From PERS'!A291&lt;0,-'From PERS'!A291,0)</f>
        <v>0</v>
      </c>
      <c r="AD6" s="141">
        <f>IF($G$35&lt;0,-G28,0)</f>
        <v>-58643</v>
      </c>
      <c r="AE6" s="134">
        <f>SUM(S6:AD6)</f>
        <v>-5920</v>
      </c>
    </row>
    <row r="7" spans="1:32" ht="13.8">
      <c r="A7" s="226"/>
      <c r="B7" s="141"/>
      <c r="D7" s="141"/>
      <c r="K7" s="141"/>
      <c r="L7" s="141"/>
      <c r="M7" s="141"/>
      <c r="N7" s="141"/>
      <c r="O7" s="141"/>
      <c r="P7" s="134"/>
      <c r="R7" s="226"/>
      <c r="AD7" s="141"/>
      <c r="AE7" s="134"/>
    </row>
    <row r="8" spans="1:32" ht="13.8">
      <c r="A8" s="226" t="s">
        <v>214</v>
      </c>
      <c r="B8" s="141">
        <f>ROUND('From PERS'!A213/4.4,)</f>
        <v>18470</v>
      </c>
      <c r="C8" s="141">
        <f>ROUND(('From PERS'!A166+'From PERS'!A194)*'From PERS'!$A$206,0)</f>
        <v>100137</v>
      </c>
      <c r="D8" s="141">
        <f>IF('From PERS'!A462&gt;0,'From PERS'!A462,0)</f>
        <v>0</v>
      </c>
      <c r="E8" s="141">
        <f>IF('From PERS'!A428&gt;0,'From PERS'!A428,0)</f>
        <v>136</v>
      </c>
      <c r="F8" s="141">
        <f>IF('From PERS'!A445&gt;0,'From PERS'!A445,0)</f>
        <v>0</v>
      </c>
      <c r="G8" s="141">
        <f>ROUND(IF('From PERS'!A411&gt;0,'From PERS'!A411,0),0)</f>
        <v>11027</v>
      </c>
      <c r="H8" s="141">
        <f>ROUND(IF('From PERS'!A394&gt;0,'From PERS'!A394,0),0)</f>
        <v>3493</v>
      </c>
      <c r="I8" s="141">
        <f>ROUND(IF('From PERS'!A377&gt;0,'From PERS'!A377,0),0)</f>
        <v>5876</v>
      </c>
      <c r="J8" s="141">
        <f>ROUND(IF('From PERS'!A360&gt;0,'From PERS'!A360,0),0)</f>
        <v>966</v>
      </c>
      <c r="K8" s="141">
        <f>ROUND(IF('From PERS'!A343&gt;0,'From PERS'!A343,0),0)</f>
        <v>12930</v>
      </c>
      <c r="L8" s="141">
        <f>ROUND(IF('From PERS'!A326&gt;0,'From PERS'!A326,0),0)</f>
        <v>0</v>
      </c>
      <c r="M8" s="141">
        <f>IF('From PERS'!A309&gt;0,'From PERS'!A309,0)</f>
        <v>1228</v>
      </c>
      <c r="N8" s="141">
        <f>IF('From PERS'!A292&gt;0,'From PERS'!A292,0)</f>
        <v>46461</v>
      </c>
      <c r="O8" s="141">
        <f t="shared" ref="O8:O12" si="0">IF($G$35&gt;0,G30,0)</f>
        <v>0</v>
      </c>
      <c r="P8" s="134">
        <f>SUM(B8:O8)</f>
        <v>200724</v>
      </c>
      <c r="R8" s="226" t="str">
        <f>A8</f>
        <v>FY2021</v>
      </c>
      <c r="S8" s="141">
        <f>IF('From PERS'!A462&lt;0,-'From PERS'!A462,0)</f>
        <v>0</v>
      </c>
      <c r="T8" s="141">
        <f>IF('From PERS'!A428&lt;0,-'From PERS'!A428,0)</f>
        <v>0</v>
      </c>
      <c r="U8" s="141">
        <f>IF('From PERS'!A445&lt;0,-'From PERS'!A445,0)</f>
        <v>2656</v>
      </c>
      <c r="V8" s="141">
        <f>ROUND(IF('From PERS'!A411&lt;0,-'From PERS'!A411,0),0)</f>
        <v>0</v>
      </c>
      <c r="W8" s="141">
        <f>ROUND(IF('From PERS'!A394&lt;0,-'From PERS'!A394,0),0)</f>
        <v>0</v>
      </c>
      <c r="X8" s="141">
        <f>ROUND(IF('From PERS'!A377&lt;0,-'From PERS'!A377,0),0)</f>
        <v>0</v>
      </c>
      <c r="Y8" s="141">
        <f>ROUND(IF('From PERS'!A360&lt;0,-'From PERS'!A360,0),0)</f>
        <v>0</v>
      </c>
      <c r="Z8" s="248">
        <f>ROUND(IF('From PERS'!A343&lt;0,-'From PERS'!A343,0),0)</f>
        <v>0</v>
      </c>
      <c r="AA8" s="248">
        <f>ROUND(IF('From PERS'!A326&lt;0,-'From PERS'!A326,0),0)</f>
        <v>46088</v>
      </c>
      <c r="AB8" s="248">
        <f>IF('From PERS'!A309&lt;0,-'From PERS'!A309,0)</f>
        <v>0</v>
      </c>
      <c r="AC8" s="248">
        <f>IF('From PERS'!A292&lt;0,-'From PERS'!A292,0)</f>
        <v>0</v>
      </c>
      <c r="AD8" s="141">
        <f t="shared" ref="AD8:AD12" si="1">IF($G$35&lt;0,-G30,0)</f>
        <v>-14410</v>
      </c>
      <c r="AE8" s="134">
        <f>SUM(S8:AD8)</f>
        <v>34334</v>
      </c>
    </row>
    <row r="9" spans="1:32" ht="13.8">
      <c r="A9" s="226" t="s">
        <v>296</v>
      </c>
      <c r="B9" s="141">
        <f>ROUND('From PERS'!A213/4.4,)</f>
        <v>18470</v>
      </c>
      <c r="C9" s="141">
        <f>ROUND(('From PERS'!A167+'From PERS'!A195)*'From PERS'!$A$206,0)</f>
        <v>55733</v>
      </c>
      <c r="D9" s="141">
        <f>IF('From PERS'!A463&gt;0,'From PERS'!A463,0)</f>
        <v>0</v>
      </c>
      <c r="E9" s="141">
        <f>IF('From PERS'!A429&gt;0,'From PERS'!A429,0)</f>
        <v>0</v>
      </c>
      <c r="F9" s="141">
        <f>IF('From PERS'!A446&gt;0,'From PERS'!A446,0)</f>
        <v>0</v>
      </c>
      <c r="G9" s="141">
        <f>ROUND(IF('From PERS'!A412&gt;0,'From PERS'!A412,0),0)</f>
        <v>3306</v>
      </c>
      <c r="H9" s="141">
        <f>ROUND(IF('From PERS'!A395&gt;0,'From PERS'!A395,0),0)</f>
        <v>1047</v>
      </c>
      <c r="I9" s="141">
        <f>ROUND(IF('From PERS'!A378&gt;0,'From PERS'!A378,0),0)</f>
        <v>5876</v>
      </c>
      <c r="J9" s="141">
        <f>ROUND(IF('From PERS'!A361&gt;0,'From PERS'!A361,0),0)</f>
        <v>966</v>
      </c>
      <c r="K9" s="141">
        <f>ROUND(IF('From PERS'!A344&gt;0,'From PERS'!A344,0),0)</f>
        <v>12930</v>
      </c>
      <c r="L9" s="141">
        <f>ROUND(IF('From PERS'!A327&gt;0,'From PERS'!A327,0),0)</f>
        <v>0</v>
      </c>
      <c r="M9" s="141">
        <f>IF('From PERS'!A310&gt;0,'From PERS'!A310,0)</f>
        <v>1228</v>
      </c>
      <c r="N9" s="141">
        <f>IF('From PERS'!A293&gt;0,'From PERS'!A293,0)</f>
        <v>46461</v>
      </c>
      <c r="O9" s="141">
        <f t="shared" si="0"/>
        <v>0</v>
      </c>
      <c r="P9" s="134">
        <f t="shared" ref="P9:P12" si="2">SUM(B9:O9)</f>
        <v>146017</v>
      </c>
      <c r="R9" s="226" t="str">
        <f>A9</f>
        <v>FY2022</v>
      </c>
      <c r="S9" s="141">
        <f>IF('From PERS'!A463&lt;0,-'From PERS'!A463,0)</f>
        <v>0</v>
      </c>
      <c r="T9" s="141">
        <f>IF('From PERS'!A429&lt;0,-'From PERS'!A429,0)</f>
        <v>0</v>
      </c>
      <c r="U9" s="141">
        <f>IF('From PERS'!A446&lt;0,-'From PERS'!A446,0)</f>
        <v>0</v>
      </c>
      <c r="V9" s="141">
        <f>ROUND(IF('From PERS'!A412&lt;0,-'From PERS'!A412,0),0)</f>
        <v>0</v>
      </c>
      <c r="W9" s="141">
        <f>ROUND(IF('From PERS'!A395&lt;0,-'From PERS'!A395,0),0)</f>
        <v>0</v>
      </c>
      <c r="X9" s="141">
        <f>ROUND(IF('From PERS'!A378&lt;0,-'From PERS'!A378,0),0)</f>
        <v>0</v>
      </c>
      <c r="Y9" s="141">
        <f>ROUND(IF('From PERS'!A361&lt;0,-'From PERS'!A361,0),0)</f>
        <v>0</v>
      </c>
      <c r="Z9" s="248">
        <f>ROUND(IF('From PERS'!A344&lt;0,-'From PERS'!A344,0),0)</f>
        <v>0</v>
      </c>
      <c r="AA9" s="248">
        <f>ROUND(IF('From PERS'!A327&lt;0,-'From PERS'!A327,0),0)</f>
        <v>46088</v>
      </c>
      <c r="AB9" s="248">
        <f>IF('From PERS'!A310&lt;0,-'From PERS'!A310,0)</f>
        <v>0</v>
      </c>
      <c r="AC9" s="248">
        <f>IF('From PERS'!A293&lt;0,-'From PERS'!A293,0)</f>
        <v>0</v>
      </c>
      <c r="AD9" s="141">
        <f t="shared" si="1"/>
        <v>62159</v>
      </c>
      <c r="AE9" s="134">
        <f t="shared" ref="AE9:AE12" si="3">SUM(S9:AD9)</f>
        <v>108247</v>
      </c>
    </row>
    <row r="10" spans="1:32" ht="13.8">
      <c r="A10" s="226" t="s">
        <v>320</v>
      </c>
      <c r="B10" s="141">
        <f>ROUND('From PERS'!A213/4.4,)</f>
        <v>18470</v>
      </c>
      <c r="C10" s="141">
        <f>ROUND(('From PERS'!A168+'From PERS'!A196)*'From PERS'!$A$206,0)</f>
        <v>36703</v>
      </c>
      <c r="D10" s="141">
        <f>IF('From PERS'!A464&gt;0,'From PERS'!A464,0)</f>
        <v>0</v>
      </c>
      <c r="E10" s="141">
        <f>IF('From PERS'!A430&gt;0,'From PERS'!A430,0)</f>
        <v>0</v>
      </c>
      <c r="F10" s="141">
        <f>IF('From PERS'!A447&gt;0,'From PERS'!A447,0)</f>
        <v>0</v>
      </c>
      <c r="G10" s="141">
        <f>ROUND(IF('From PERS'!A413&gt;0,'From PERS'!A413,0),0)</f>
        <v>0</v>
      </c>
      <c r="H10" s="141">
        <f>ROUND(IF('From PERS'!A396&gt;0,'From PERS'!A396,0),0)</f>
        <v>0</v>
      </c>
      <c r="I10" s="141">
        <f>ROUND(IF('From PERS'!A379&gt;0,'From PERS'!A379,0),0)</f>
        <v>1762</v>
      </c>
      <c r="J10" s="141">
        <f>ROUND(IF('From PERS'!A362&gt;0,'From PERS'!A362,0),0)</f>
        <v>290</v>
      </c>
      <c r="K10" s="141">
        <f>ROUND(IF('From PERS'!A345&gt;0,'From PERS'!A345,0),0)</f>
        <v>12930</v>
      </c>
      <c r="L10" s="141">
        <f>ROUND(IF('From PERS'!A328&gt;0,'From PERS'!A328,0),0)</f>
        <v>0</v>
      </c>
      <c r="M10" s="141">
        <f>IF('From PERS'!A311&gt;0,'From PERS'!A311,0)</f>
        <v>1228</v>
      </c>
      <c r="N10" s="141">
        <f>IF('From PERS'!A294&gt;0,'From PERS'!A294,0)</f>
        <v>46461</v>
      </c>
      <c r="O10" s="141">
        <f t="shared" si="0"/>
        <v>0</v>
      </c>
      <c r="P10" s="134">
        <f t="shared" si="2"/>
        <v>117844</v>
      </c>
      <c r="R10" s="226" t="str">
        <f>A10</f>
        <v>FY2023</v>
      </c>
      <c r="S10" s="141">
        <f>IF('From PERS'!A464&lt;0,-'From PERS'!A464,0)</f>
        <v>0</v>
      </c>
      <c r="T10" s="141">
        <f>IF('From PERS'!A430&lt;0,-'From PERS'!A430,0)</f>
        <v>0</v>
      </c>
      <c r="U10" s="141">
        <f>IF('From PERS'!A447&lt;0,-'From PERS'!A447,0)</f>
        <v>0</v>
      </c>
      <c r="V10" s="141">
        <f>ROUND(IF('From PERS'!A413&lt;0,-'From PERS'!A413,0),0)</f>
        <v>0</v>
      </c>
      <c r="W10" s="141">
        <f>ROUND(IF('From PERS'!A396&lt;0,-'From PERS'!A396,0),0)</f>
        <v>0</v>
      </c>
      <c r="X10" s="141">
        <f>ROUND(IF('From PERS'!A379&lt;0,-'From PERS'!A379,0),0)</f>
        <v>0</v>
      </c>
      <c r="Y10" s="141">
        <f>ROUND(IF('From PERS'!A362&lt;0,-'From PERS'!A362,0),0)</f>
        <v>0</v>
      </c>
      <c r="Z10" s="248">
        <f>ROUND(IF('From PERS'!A345&lt;0,-'From PERS'!A345,0),0)</f>
        <v>0</v>
      </c>
      <c r="AA10" s="248">
        <f>ROUND(IF('From PERS'!A328&lt;0,-'From PERS'!A328,0),0)</f>
        <v>46088</v>
      </c>
      <c r="AB10" s="248">
        <f>IF('From PERS'!A311&lt;0,-'From PERS'!A311,0)</f>
        <v>0</v>
      </c>
      <c r="AC10" s="248">
        <f>IF('From PERS'!A294&lt;0,-'From PERS'!A294,0)</f>
        <v>0</v>
      </c>
      <c r="AD10" s="141">
        <f t="shared" si="1"/>
        <v>8862</v>
      </c>
      <c r="AE10" s="134">
        <f t="shared" si="3"/>
        <v>54950</v>
      </c>
    </row>
    <row r="11" spans="1:32" ht="13.8">
      <c r="A11" s="226" t="s">
        <v>360</v>
      </c>
      <c r="B11" s="141">
        <f>ROUND('From PERS'!A213/4.4,)</f>
        <v>18470</v>
      </c>
      <c r="C11" s="141">
        <f>ROUND(('From PERS'!A169+'From PERS'!A197)*'From PERS'!$A$206,0)</f>
        <v>7341</v>
      </c>
      <c r="D11" s="141">
        <f>IF('From PERS'!A465&gt;0,'From PERS'!A465,0)</f>
        <v>0</v>
      </c>
      <c r="E11" s="141">
        <f>IF('From PERS'!A431&gt;0,'From PERS'!A431,0)</f>
        <v>0</v>
      </c>
      <c r="F11" s="141">
        <f>IF('From PERS'!A448&gt;0,'From PERS'!A448,0)</f>
        <v>0</v>
      </c>
      <c r="G11" s="141">
        <f>ROUND(IF('From PERS'!A414&gt;0,'From PERS'!A414,0),0)</f>
        <v>0</v>
      </c>
      <c r="H11" s="141">
        <f>ROUND(IF('From PERS'!A397&gt;0,'From PERS'!A397,0),0)</f>
        <v>0</v>
      </c>
      <c r="I11" s="141">
        <f>ROUND(IF('From PERS'!A380&gt;0,'From PERS'!A380,0),0)</f>
        <v>0</v>
      </c>
      <c r="J11" s="141">
        <f>ROUND(IF('From PERS'!A363&gt;0,'From PERS'!A363,0),0)</f>
        <v>0</v>
      </c>
      <c r="K11" s="141">
        <f>ROUND(IF('From PERS'!A346&gt;0,'From PERS'!A346,0),0)</f>
        <v>2585</v>
      </c>
      <c r="L11" s="141">
        <f>ROUND(IF('From PERS'!A329&gt;0,'From PERS'!A329,0),0)</f>
        <v>0</v>
      </c>
      <c r="M11" s="141">
        <f>IF('From PERS'!A312&gt;0,'From PERS'!A312,0)</f>
        <v>1228</v>
      </c>
      <c r="N11" s="141">
        <f>IF('From PERS'!A295&gt;0,'From PERS'!A295,0)</f>
        <v>46461</v>
      </c>
      <c r="O11" s="141">
        <f t="shared" si="0"/>
        <v>0</v>
      </c>
      <c r="P11" s="134">
        <f t="shared" si="2"/>
        <v>76085</v>
      </c>
      <c r="R11" s="226" t="str">
        <f>A11</f>
        <v>FY2024</v>
      </c>
      <c r="S11" s="141">
        <f>IF('From PERS'!A465&lt;0,-'From PERS'!A465,0)</f>
        <v>0</v>
      </c>
      <c r="T11" s="141">
        <f>IF('From PERS'!A431&lt;0,-'From PERS'!A431,0)</f>
        <v>0</v>
      </c>
      <c r="U11" s="141">
        <f>IF('From PERS'!A448&lt;0,-'From PERS'!A448,0)</f>
        <v>0</v>
      </c>
      <c r="V11" s="141">
        <f>ROUND(IF('From PERS'!A414&lt;0,-'From PERS'!A414,0),0)</f>
        <v>0</v>
      </c>
      <c r="W11" s="141">
        <f>ROUND(IF('From PERS'!A397&lt;0,-'From PERS'!A397,0),0)</f>
        <v>0</v>
      </c>
      <c r="X11" s="141">
        <f>ROUND(IF('From PERS'!A380&lt;0,-'From PERS'!A380,0),0)</f>
        <v>0</v>
      </c>
      <c r="Y11" s="141">
        <f>ROUND(IF('From PERS'!A363&lt;0,-'From PERS'!A363,0),0)</f>
        <v>0</v>
      </c>
      <c r="Z11" s="248">
        <f>ROUND(IF('From PERS'!A346&lt;0,-'From PERS'!A346,0),0)</f>
        <v>0</v>
      </c>
      <c r="AA11" s="248">
        <f>ROUND(IF('From PERS'!A329&lt;0,-'From PERS'!A329,0),0)</f>
        <v>9217</v>
      </c>
      <c r="AB11" s="248">
        <f>IF('From PERS'!A312&lt;0,-'From PERS'!A312,0)</f>
        <v>0</v>
      </c>
      <c r="AC11" s="248">
        <f>IF('From PERS'!A295&lt;0,-'From PERS'!A295,0)</f>
        <v>0</v>
      </c>
      <c r="AD11" s="141">
        <f t="shared" si="1"/>
        <v>-14835</v>
      </c>
      <c r="AE11" s="134">
        <f t="shared" si="3"/>
        <v>-5618</v>
      </c>
    </row>
    <row r="12" spans="1:32" ht="13.8">
      <c r="A12" s="226" t="s">
        <v>376</v>
      </c>
      <c r="B12" s="168">
        <f>ROUND(ROUND('From PERS'!A213/4.4,)*0.4,)-2</f>
        <v>7386</v>
      </c>
      <c r="C12" s="141">
        <f>ROUND(('From PERS'!A170+'From PERS'!A198)*'From PERS'!$A$206,0)</f>
        <v>0</v>
      </c>
      <c r="D12" s="141">
        <f>IF('From PERS'!A466&gt;0,'From PERS'!A466,0)</f>
        <v>0</v>
      </c>
      <c r="E12" s="141">
        <f>IF('From PERS'!A432&gt;0,'From PERS'!A432,0)</f>
        <v>0</v>
      </c>
      <c r="F12" s="141">
        <f>IF('From PERS'!A449&gt;0,'From PERS'!A449,0)</f>
        <v>0</v>
      </c>
      <c r="G12" s="141">
        <f>ROUND(IF('From PERS'!A415&gt;0,'From PERS'!A415,0),0)</f>
        <v>0</v>
      </c>
      <c r="H12" s="141">
        <f>ROUND(IF('From PERS'!A398&gt;0,'From PERS'!A398,0),0)</f>
        <v>0</v>
      </c>
      <c r="I12" s="141">
        <f>ROUND(IF('From PERS'!A381&gt;0,'From PERS'!A381,0),0)</f>
        <v>0</v>
      </c>
      <c r="J12" s="141">
        <f>ROUND(IF('From PERS'!A364&gt;0,'From PERS'!A364,0),0)</f>
        <v>0</v>
      </c>
      <c r="K12" s="141">
        <f>ROUND(IF('From PERS'!A347&gt;0,'From PERS'!A347,0),0)</f>
        <v>0</v>
      </c>
      <c r="L12" s="141">
        <f>ROUND(IF('From PERS'!A330&gt;0,'From PERS'!A330,0),0)</f>
        <v>0</v>
      </c>
      <c r="M12" s="141">
        <f>IF('From PERS'!A313&gt;0,'From PERS'!A313,0)</f>
        <v>244</v>
      </c>
      <c r="N12" s="141">
        <f>IF('From PERS'!A296&gt;0,'From PERS'!A296,0)</f>
        <v>9290</v>
      </c>
      <c r="O12" s="141">
        <f t="shared" si="0"/>
        <v>0</v>
      </c>
      <c r="P12" s="134">
        <f t="shared" si="2"/>
        <v>16920</v>
      </c>
      <c r="R12" s="226" t="str">
        <f>A12</f>
        <v>FY2025</v>
      </c>
      <c r="S12" s="141">
        <f>IF('From PERS'!A466&lt;0,-'From PERS'!A466,0)</f>
        <v>0</v>
      </c>
      <c r="T12" s="141">
        <f>IF('From PERS'!A432&lt;0,-'From PERS'!A432,0)</f>
        <v>0</v>
      </c>
      <c r="U12" s="141">
        <f>IF('From PERS'!A449&lt;0,-'From PERS'!A449,0)</f>
        <v>0</v>
      </c>
      <c r="V12" s="141">
        <f>ROUND(IF('From PERS'!A415&lt;0,-'From PERS'!A415,0),0)</f>
        <v>0</v>
      </c>
      <c r="W12" s="141">
        <f>ROUND(IF('From PERS'!A398&lt;0,-'From PERS'!A398,0),0)</f>
        <v>0</v>
      </c>
      <c r="X12" s="141">
        <f>ROUND(IF('From PERS'!A381&lt;0,-'From PERS'!A381,0),0)</f>
        <v>0</v>
      </c>
      <c r="Y12" s="141">
        <f>ROUND(IF('From PERS'!A364&lt;0,-'From PERS'!A364,0),0)</f>
        <v>0</v>
      </c>
      <c r="Z12" s="248">
        <f>ROUND(IF('From PERS'!A347&lt;0,-'From PERS'!A347,0),0)</f>
        <v>0</v>
      </c>
      <c r="AA12" s="248">
        <f>ROUND(IF('From PERS'!A330&lt;0,-'From PERS'!A330,0),0)</f>
        <v>0</v>
      </c>
      <c r="AB12" s="248">
        <f>IF('From PERS'!A313&lt;0,-'From PERS'!A313,0)</f>
        <v>0</v>
      </c>
      <c r="AC12" s="248">
        <f>IF('From PERS'!A296&lt;0,-'From PERS'!A296,0)</f>
        <v>0</v>
      </c>
      <c r="AD12" s="141">
        <f t="shared" si="1"/>
        <v>0</v>
      </c>
      <c r="AE12" s="134">
        <f t="shared" si="3"/>
        <v>0</v>
      </c>
    </row>
    <row r="13" spans="1:32" ht="13.8">
      <c r="A13" s="292" t="s">
        <v>62</v>
      </c>
      <c r="B13" s="133">
        <f t="shared" ref="B13" si="4">SUM(B8:B12)</f>
        <v>81266</v>
      </c>
      <c r="C13" s="133">
        <f>SUM(C8:C12)</f>
        <v>199914</v>
      </c>
      <c r="D13" s="133">
        <f t="shared" ref="D13:E13" si="5">SUM(D8:D12)</f>
        <v>0</v>
      </c>
      <c r="E13" s="133">
        <f t="shared" si="5"/>
        <v>136</v>
      </c>
      <c r="F13" s="133">
        <f>SUM(F8:F12)</f>
        <v>0</v>
      </c>
      <c r="G13" s="133">
        <f>SUM(G8:G12)</f>
        <v>14333</v>
      </c>
      <c r="H13" s="133">
        <f>SUM(H8:H12)</f>
        <v>4540</v>
      </c>
      <c r="I13" s="133">
        <f t="shared" ref="I13:O13" si="6">SUM(I8:I12)</f>
        <v>13514</v>
      </c>
      <c r="J13" s="133">
        <f t="shared" si="6"/>
        <v>2222</v>
      </c>
      <c r="K13" s="133">
        <f t="shared" si="6"/>
        <v>41375</v>
      </c>
      <c r="L13" s="133">
        <f t="shared" si="6"/>
        <v>0</v>
      </c>
      <c r="M13" s="133">
        <f t="shared" si="6"/>
        <v>5156</v>
      </c>
      <c r="N13" s="133">
        <f t="shared" si="6"/>
        <v>195134</v>
      </c>
      <c r="O13" s="133">
        <f t="shared" si="6"/>
        <v>0</v>
      </c>
      <c r="P13" s="133">
        <f>SUM(P8:P12)</f>
        <v>557590</v>
      </c>
      <c r="R13" s="99"/>
      <c r="S13" s="133">
        <f t="shared" ref="S13:AC13" si="7">SUM(S8:S12)</f>
        <v>0</v>
      </c>
      <c r="T13" s="133">
        <f t="shared" ref="T13:Y13" si="8">SUM(T8:T12)</f>
        <v>0</v>
      </c>
      <c r="U13" s="133">
        <f t="shared" si="8"/>
        <v>2656</v>
      </c>
      <c r="V13" s="133">
        <f t="shared" si="8"/>
        <v>0</v>
      </c>
      <c r="W13" s="133">
        <f t="shared" si="8"/>
        <v>0</v>
      </c>
      <c r="X13" s="133">
        <f t="shared" si="8"/>
        <v>0</v>
      </c>
      <c r="Y13" s="133">
        <f t="shared" si="8"/>
        <v>0</v>
      </c>
      <c r="Z13" s="133">
        <f t="shared" si="7"/>
        <v>0</v>
      </c>
      <c r="AA13" s="133">
        <f>SUM(AA8:AA12)</f>
        <v>147481</v>
      </c>
      <c r="AB13" s="133">
        <f t="shared" si="7"/>
        <v>0</v>
      </c>
      <c r="AC13" s="133">
        <f t="shared" si="7"/>
        <v>0</v>
      </c>
      <c r="AD13" s="133">
        <f t="shared" ref="AD13" si="9">SUM(AD8:AD12)</f>
        <v>41776</v>
      </c>
      <c r="AE13" s="133">
        <f>SUM(AE8:AE12)</f>
        <v>191913</v>
      </c>
      <c r="AF13" s="141"/>
    </row>
    <row r="14" spans="1:32" ht="13.8">
      <c r="B14" s="291">
        <f>B13-'From PERS'!A213</f>
        <v>0</v>
      </c>
      <c r="C14" s="291">
        <f>C13-'State Schedule'!C27</f>
        <v>0</v>
      </c>
      <c r="D14" s="291">
        <f>IF(D13=0,0,(D13+S13-'From PERS'!A460))</f>
        <v>0</v>
      </c>
      <c r="E14" s="291">
        <f>IF(E13=0,0,(E13+T13-'From PERS'!A426))</f>
        <v>0</v>
      </c>
      <c r="F14" s="150">
        <f>IF(F13=0,0,(F13+U13-'From PERS'!A443))</f>
        <v>0</v>
      </c>
      <c r="G14" s="150">
        <f>IF(G13=0,0,(G13+V13-'From PERS'!A409))</f>
        <v>0</v>
      </c>
      <c r="H14" s="150">
        <f>IF(H13=0,0,(H13+W13-'From PERS'!A392))</f>
        <v>0</v>
      </c>
      <c r="I14" s="291">
        <f>IF(I13=0,0,(I13+X13-'From PERS'!A375))</f>
        <v>0</v>
      </c>
      <c r="J14" s="291">
        <f>IF(J13=0,0,(J13+Y13-'From PERS'!A358))</f>
        <v>0</v>
      </c>
      <c r="K14" s="291">
        <f>IF(K13=0,0,(K13+Z13-'From PERS'!A341))</f>
        <v>0</v>
      </c>
      <c r="L14" s="291">
        <f>IF(L13=0,0,(L13+AA13-'From PERS'!A324))</f>
        <v>0</v>
      </c>
      <c r="M14" s="291">
        <f>IF(M13=0,0,(M13+AB13-'From PERS'!A307))</f>
        <v>0</v>
      </c>
      <c r="N14" s="291">
        <f>IF(N13=0,0,(N13+AC13-'From PERS'!A290))</f>
        <v>0</v>
      </c>
      <c r="O14" s="291">
        <f>IF(O13=0,0,(O13+AD13-'From PERS'!A215))</f>
        <v>0</v>
      </c>
      <c r="P14" s="225"/>
      <c r="R14" s="99"/>
      <c r="S14" s="150">
        <f>IF(S13=0,0,S13+D13+'From PERS'!A460)</f>
        <v>0</v>
      </c>
      <c r="T14" s="150">
        <f>IF(T13=0,0,T13+E13+'From PERS'!A426)</f>
        <v>0</v>
      </c>
      <c r="U14" s="150">
        <f>IF(U13=0,0,U13+F13+'From PERS'!A443)</f>
        <v>0</v>
      </c>
      <c r="V14" s="150">
        <f>IF(V13=0,0,V13+G13+'From PERS'!A409)</f>
        <v>0</v>
      </c>
      <c r="W14" s="150">
        <f>IF(W13=0,0,W13+H13+'From PERS'!A392)</f>
        <v>0</v>
      </c>
      <c r="X14" s="291">
        <f>IF(X13=0,0,(X13+I13+'From PERS'!A375))</f>
        <v>0</v>
      </c>
      <c r="Y14" s="291">
        <f>IF(Y13=0,0,(Y13+J13+'From PERS'!A358))</f>
        <v>0</v>
      </c>
      <c r="Z14" s="150">
        <f>IF(Z13=0,0,(Z13+K14+'From PERS'!A307))</f>
        <v>0</v>
      </c>
      <c r="AA14" s="150">
        <f>IF(AA13=0,0,(AA13+L13+'From PERS'!A324))</f>
        <v>0</v>
      </c>
      <c r="AB14" s="150">
        <f>IF(AB13=0,0,(AB13+M13+'From PERS'!A307))</f>
        <v>0</v>
      </c>
      <c r="AC14" s="150">
        <f>IF(AC13=0,0,(AC13+N13+'From PERS'!A290))</f>
        <v>0</v>
      </c>
      <c r="AD14" s="150">
        <f>AD13+G35</f>
        <v>0</v>
      </c>
      <c r="AE14" s="225"/>
    </row>
    <row r="15" spans="1:32" ht="13.8">
      <c r="B15" s="146"/>
      <c r="C15" s="146"/>
      <c r="D15" s="146"/>
      <c r="E15" s="146"/>
      <c r="F15" s="146"/>
      <c r="G15" s="146"/>
      <c r="H15" s="146"/>
      <c r="I15" s="146"/>
      <c r="J15" s="146"/>
      <c r="K15" s="146"/>
      <c r="L15" s="146"/>
      <c r="M15" s="146"/>
      <c r="N15" s="146"/>
      <c r="O15" s="146"/>
      <c r="P15" s="150">
        <f>P13-'State Schedule'!C31</f>
        <v>0</v>
      </c>
      <c r="R15" s="99"/>
      <c r="S15" s="146"/>
      <c r="T15" s="146"/>
      <c r="U15" s="146"/>
      <c r="V15" s="146"/>
      <c r="W15" s="146"/>
      <c r="X15" s="146"/>
      <c r="Y15" s="146"/>
      <c r="Z15" s="146"/>
      <c r="AA15" s="146"/>
      <c r="AB15" s="146"/>
      <c r="AC15" s="146"/>
      <c r="AD15" s="146"/>
      <c r="AE15" s="150">
        <f>AE13-'State Schedule'!D33</f>
        <v>0</v>
      </c>
    </row>
    <row r="16" spans="1:32">
      <c r="C16"/>
      <c r="K16" s="231"/>
      <c r="R16" s="99"/>
    </row>
    <row r="17" spans="1:27">
      <c r="C17" s="146"/>
      <c r="I17"/>
      <c r="M17" s="146"/>
      <c r="N17" s="260"/>
      <c r="O17" s="141"/>
      <c r="P17" s="219"/>
      <c r="R17" s="99"/>
      <c r="AA17" s="141"/>
    </row>
    <row r="18" spans="1:27">
      <c r="J18"/>
      <c r="K18"/>
      <c r="L18"/>
      <c r="R18" s="99"/>
    </row>
    <row r="19" spans="1:27">
      <c r="J19"/>
      <c r="M19" s="146" t="s">
        <v>257</v>
      </c>
      <c r="N19" s="141">
        <f>-(+B35+C35+D35+E35+F35)</f>
        <v>41776</v>
      </c>
      <c r="R19" s="99"/>
    </row>
    <row r="20" spans="1:27">
      <c r="J20"/>
      <c r="M20" s="146" t="s">
        <v>238</v>
      </c>
      <c r="N20" s="141">
        <f>'From PERS'!A220+'From PERS'!A215</f>
        <v>41776</v>
      </c>
      <c r="O20" s="99" t="s">
        <v>225</v>
      </c>
      <c r="R20" s="99"/>
    </row>
    <row r="21" spans="1:27">
      <c r="J21"/>
      <c r="N21" s="169">
        <f>N19-N20</f>
        <v>0</v>
      </c>
      <c r="O21" s="225" t="s">
        <v>259</v>
      </c>
      <c r="R21" s="99"/>
    </row>
    <row r="22" spans="1:27">
      <c r="J22"/>
      <c r="R22" s="99"/>
    </row>
    <row r="23" spans="1:27" s="107" customFormat="1" ht="16.95" customHeight="1">
      <c r="A23" s="200" t="s">
        <v>147</v>
      </c>
      <c r="B23" s="200"/>
      <c r="C23" s="99"/>
      <c r="D23" s="99"/>
      <c r="E23" s="99"/>
    </row>
    <row r="24" spans="1:27" ht="13.8">
      <c r="B24" s="99">
        <v>2016</v>
      </c>
      <c r="C24" s="99">
        <v>2017</v>
      </c>
      <c r="D24" s="99">
        <v>2018</v>
      </c>
      <c r="E24" s="99">
        <v>2019</v>
      </c>
      <c r="F24" s="99">
        <v>2020</v>
      </c>
      <c r="R24" s="99"/>
    </row>
    <row r="25" spans="1:27" ht="27.6">
      <c r="A25" s="381" t="s">
        <v>47</v>
      </c>
      <c r="B25" s="121" t="s">
        <v>248</v>
      </c>
      <c r="C25" s="121" t="s">
        <v>248</v>
      </c>
      <c r="D25" s="121" t="s">
        <v>248</v>
      </c>
      <c r="E25" s="320" t="s">
        <v>248</v>
      </c>
      <c r="F25" s="320" t="s">
        <v>248</v>
      </c>
      <c r="G25" s="99" t="s">
        <v>62</v>
      </c>
      <c r="J25" s="121"/>
      <c r="R25" s="99"/>
    </row>
    <row r="26" spans="1:27">
      <c r="A26" s="381"/>
      <c r="B26" s="148">
        <v>5</v>
      </c>
      <c r="C26" s="148">
        <v>5</v>
      </c>
      <c r="D26" s="148">
        <f>'From PERS'!A35</f>
        <v>5</v>
      </c>
      <c r="E26" s="148">
        <f>'From PERS'!A21</f>
        <v>5</v>
      </c>
      <c r="F26" s="148">
        <f>'From PERS'!A7</f>
        <v>5</v>
      </c>
      <c r="J26" s="149"/>
      <c r="R26" s="99"/>
      <c r="S26"/>
      <c r="T26"/>
      <c r="V26"/>
    </row>
    <row r="27" spans="1:27">
      <c r="A27" s="226"/>
      <c r="B27" s="121"/>
      <c r="C27" s="121"/>
      <c r="D27" s="121"/>
      <c r="E27" s="320"/>
      <c r="F27" s="320"/>
      <c r="J27" s="121"/>
      <c r="R27" s="99"/>
      <c r="S27"/>
      <c r="T27"/>
      <c r="V27"/>
    </row>
    <row r="28" spans="1:27">
      <c r="A28" s="226" t="s">
        <v>212</v>
      </c>
      <c r="B28" s="141">
        <f>ROUND('From PERS'!A64*'State Schedule'!D10,0)</f>
        <v>44233</v>
      </c>
      <c r="C28" s="141">
        <f>ROUND('From PERS'!A50*'State Schedule'!D10,0)</f>
        <v>76569</v>
      </c>
      <c r="D28" s="141">
        <f>ROUND('From PERS'!A36*'State Schedule'!D10,0)</f>
        <v>-53297</v>
      </c>
      <c r="E28" s="141">
        <f>ROUND('From PERS'!A22*'State Schedule'!$D$10,0)</f>
        <v>-23697</v>
      </c>
      <c r="F28" s="141">
        <f>ROUND('From PERS'!A8*'State Schedule'!$D$10,0)</f>
        <v>14835</v>
      </c>
      <c r="G28" s="134">
        <f>SUM(B28:F28)</f>
        <v>58643</v>
      </c>
      <c r="H28" s="323"/>
      <c r="J28" s="141"/>
      <c r="R28" s="99"/>
      <c r="S28"/>
      <c r="T28"/>
      <c r="V28"/>
    </row>
    <row r="29" spans="1:27">
      <c r="A29" s="226"/>
      <c r="B29" s="141"/>
      <c r="C29" s="141"/>
      <c r="D29" s="141"/>
      <c r="E29" s="141"/>
      <c r="F29" s="141"/>
      <c r="G29" s="134"/>
      <c r="H29" s="323"/>
      <c r="J29" s="141"/>
      <c r="R29" s="99"/>
      <c r="S29"/>
      <c r="T29"/>
      <c r="V29"/>
      <c r="AA29" s="141"/>
    </row>
    <row r="30" spans="1:27">
      <c r="A30" s="226" t="s">
        <v>213</v>
      </c>
      <c r="B30" s="141">
        <f>ROUND('From PERS'!A67*'State Schedule'!$D$10,0)</f>
        <v>0</v>
      </c>
      <c r="C30" s="141">
        <f>ROUND('From PERS'!A53*'State Schedule'!$D$10,0)</f>
        <v>76569</v>
      </c>
      <c r="D30" s="141">
        <f>ROUND('From PERS'!A39*'State Schedule'!$D$10,0)</f>
        <v>-53297</v>
      </c>
      <c r="E30" s="141">
        <f>ROUND('From PERS'!A25*'State Schedule'!$D$10,0)</f>
        <v>-23697</v>
      </c>
      <c r="F30" s="141">
        <f>ROUND('From PERS'!A11*'State Schedule'!$D$10,0)</f>
        <v>14835</v>
      </c>
      <c r="G30" s="134">
        <f t="shared" ref="G30:G34" si="10">SUM(B30:F30)</f>
        <v>14410</v>
      </c>
      <c r="H30" s="323"/>
      <c r="J30" s="142"/>
      <c r="R30" s="99"/>
      <c r="S30"/>
      <c r="T30"/>
      <c r="V30"/>
    </row>
    <row r="31" spans="1:27">
      <c r="A31" s="226" t="s">
        <v>214</v>
      </c>
      <c r="B31" s="141">
        <f>ROUND('From PERS'!A68*'State Schedule'!$D$10,0)</f>
        <v>0</v>
      </c>
      <c r="C31" s="141">
        <f>ROUND('From PERS'!A54*'State Schedule'!$D$10,0)</f>
        <v>0</v>
      </c>
      <c r="D31" s="141">
        <f>ROUND('From PERS'!A40*'State Schedule'!$D$10,0)</f>
        <v>-53297</v>
      </c>
      <c r="E31" s="141">
        <f>ROUND('From PERS'!A26*'State Schedule'!$D$10,0)</f>
        <v>-23697</v>
      </c>
      <c r="F31" s="141">
        <f>ROUND('From PERS'!A12*'State Schedule'!$D$10,0)</f>
        <v>14835</v>
      </c>
      <c r="G31" s="134">
        <f t="shared" si="10"/>
        <v>-62159</v>
      </c>
      <c r="H31" s="323"/>
      <c r="J31" s="142"/>
      <c r="R31" s="99"/>
      <c r="S31"/>
      <c r="T31"/>
      <c r="V31"/>
    </row>
    <row r="32" spans="1:27">
      <c r="A32" s="226" t="s">
        <v>296</v>
      </c>
      <c r="B32" s="141">
        <f>ROUND('From PERS'!A69*'State Schedule'!$D$10,0)</f>
        <v>0</v>
      </c>
      <c r="C32" s="141">
        <f>ROUND('From PERS'!A55*'State Schedule'!$D$10,0)</f>
        <v>0</v>
      </c>
      <c r="D32" s="141">
        <f>ROUND('From PERS'!A41*'State Schedule'!$D$10,0)</f>
        <v>0</v>
      </c>
      <c r="E32" s="141">
        <f>ROUND('From PERS'!A27*'State Schedule'!$D$10,0)</f>
        <v>-23697</v>
      </c>
      <c r="F32" s="141">
        <f>ROUND('From PERS'!A13*'State Schedule'!$D$10,0)</f>
        <v>14835</v>
      </c>
      <c r="G32" s="134">
        <f t="shared" si="10"/>
        <v>-8862</v>
      </c>
      <c r="H32" s="323"/>
      <c r="J32" s="142"/>
      <c r="R32" s="99"/>
      <c r="S32"/>
      <c r="T32"/>
      <c r="V32"/>
    </row>
    <row r="33" spans="1:25">
      <c r="A33" s="226" t="s">
        <v>320</v>
      </c>
      <c r="B33" s="141">
        <f>ROUND('From PERS'!A70*'State Schedule'!$D$10,0)</f>
        <v>0</v>
      </c>
      <c r="C33" s="141">
        <f>ROUND('From PERS'!A56*'State Schedule'!$D$10,0)</f>
        <v>0</v>
      </c>
      <c r="D33" s="141">
        <f>ROUND('From PERS'!A42*'State Schedule'!$D$10,0)</f>
        <v>0</v>
      </c>
      <c r="E33" s="141">
        <f>ROUND('From PERS'!A28*'State Schedule'!$D$10,0)</f>
        <v>0</v>
      </c>
      <c r="F33" s="141">
        <f>ROUND('From PERS'!A14*'State Schedule'!$D$10,0)</f>
        <v>14835</v>
      </c>
      <c r="G33" s="134">
        <f t="shared" si="10"/>
        <v>14835</v>
      </c>
      <c r="H33" s="323"/>
      <c r="J33" s="142"/>
      <c r="R33" s="99"/>
      <c r="S33"/>
      <c r="T33"/>
      <c r="V33"/>
    </row>
    <row r="34" spans="1:25">
      <c r="A34" s="226" t="s">
        <v>360</v>
      </c>
      <c r="B34" s="141">
        <f>ROUND('From PERS'!A71*'State Schedule'!$D$10,0)</f>
        <v>0</v>
      </c>
      <c r="C34" s="141">
        <f>ROUND('From PERS'!A57*'State Schedule'!$D$10,0)</f>
        <v>0</v>
      </c>
      <c r="D34" s="141">
        <f>ROUND('From PERS'!A43*'State Schedule'!$D$10,0)</f>
        <v>0</v>
      </c>
      <c r="E34" s="141">
        <f>ROUND('From PERS'!A29*'State Schedule'!$D$10,0)</f>
        <v>0</v>
      </c>
      <c r="F34" s="141">
        <f>ROUND('From PERS'!A15*'State Schedule'!$D$10,0)</f>
        <v>0</v>
      </c>
      <c r="G34" s="134">
        <f t="shared" si="10"/>
        <v>0</v>
      </c>
      <c r="H34" s="323"/>
      <c r="J34" s="142"/>
      <c r="R34" s="99"/>
      <c r="S34"/>
      <c r="T34"/>
      <c r="V34"/>
    </row>
    <row r="35" spans="1:25">
      <c r="A35" s="292" t="s">
        <v>62</v>
      </c>
      <c r="B35" s="133">
        <f t="shared" ref="B35:G35" si="11">SUM(B30:B34)</f>
        <v>0</v>
      </c>
      <c r="C35" s="133">
        <f t="shared" si="11"/>
        <v>76569</v>
      </c>
      <c r="D35" s="133">
        <f t="shared" si="11"/>
        <v>-106594</v>
      </c>
      <c r="E35" s="133">
        <f t="shared" si="11"/>
        <v>-71091</v>
      </c>
      <c r="F35" s="133">
        <f t="shared" si="11"/>
        <v>59340</v>
      </c>
      <c r="G35" s="283">
        <f t="shared" si="11"/>
        <v>-41776</v>
      </c>
      <c r="H35" s="323"/>
      <c r="J35" s="141"/>
      <c r="R35" s="99"/>
      <c r="S35"/>
      <c r="T35"/>
      <c r="V35"/>
    </row>
    <row r="36" spans="1:25">
      <c r="B36" s="151" t="s">
        <v>243</v>
      </c>
      <c r="C36" s="152" t="s">
        <v>243</v>
      </c>
      <c r="D36" s="151" t="s">
        <v>243</v>
      </c>
      <c r="E36" s="151" t="s">
        <v>243</v>
      </c>
      <c r="F36" s="151" t="s">
        <v>243</v>
      </c>
      <c r="H36" s="151"/>
      <c r="I36" s="152"/>
      <c r="J36" s="152"/>
      <c r="Q36" s="146"/>
      <c r="R36" s="146"/>
      <c r="S36"/>
      <c r="T36"/>
      <c r="V36"/>
    </row>
    <row r="37" spans="1:25">
      <c r="Q37" s="146"/>
      <c r="U37" s="146"/>
      <c r="W37" s="146"/>
      <c r="X37" s="146"/>
      <c r="Y37" s="146"/>
    </row>
    <row r="39" spans="1:25">
      <c r="Q39" s="146"/>
      <c r="U39" s="146"/>
      <c r="W39" s="146"/>
      <c r="X39" s="146"/>
      <c r="Y39" s="146"/>
    </row>
    <row r="40" spans="1:25">
      <c r="Q40" s="146"/>
      <c r="U40" s="146"/>
      <c r="W40" s="146"/>
      <c r="X40" s="146"/>
      <c r="Y40" s="146"/>
    </row>
    <row r="41" spans="1:25">
      <c r="Q41" s="146"/>
      <c r="U41" s="146"/>
      <c r="W41" s="146"/>
      <c r="X41" s="146"/>
      <c r="Y41" s="146"/>
    </row>
  </sheetData>
  <mergeCells count="13">
    <mergeCell ref="Z2:AA2"/>
    <mergeCell ref="AB2:AC2"/>
    <mergeCell ref="R3:R4"/>
    <mergeCell ref="A3:A4"/>
    <mergeCell ref="A25:A26"/>
    <mergeCell ref="I2:J2"/>
    <mergeCell ref="E2:F2"/>
    <mergeCell ref="K2:L2"/>
    <mergeCell ref="M2:N2"/>
    <mergeCell ref="T2:U2"/>
    <mergeCell ref="V2:W2"/>
    <mergeCell ref="G2:H2"/>
    <mergeCell ref="X2:Y2"/>
  </mergeCells>
  <pageMargins left="0.7" right="0.7" top="0.75" bottom="0.75" header="0.3" footer="0.3"/>
  <pageSetup scale="70" fitToWidth="2" orientation="portrait" horizontalDpi="300" verticalDpi="300" r:id="rId1"/>
  <colBreaks count="1" manualBreakCount="1">
    <brk id="26"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K50"/>
  <sheetViews>
    <sheetView topLeftCell="AG1" workbookViewId="0">
      <selection activeCell="AL6" sqref="AL6"/>
    </sheetView>
  </sheetViews>
  <sheetFormatPr defaultColWidth="9.109375" defaultRowHeight="13.8"/>
  <cols>
    <col min="1" max="1" width="18.88671875" style="99" hidden="1" customWidth="1"/>
    <col min="2" max="10" width="11.88671875" style="99" hidden="1" customWidth="1"/>
    <col min="11" max="11" width="12.33203125" style="99" hidden="1" customWidth="1"/>
    <col min="12" max="12" width="14.33203125" style="99" hidden="1" customWidth="1"/>
    <col min="13" max="14" width="12.44140625" style="99" hidden="1" customWidth="1"/>
    <col min="15" max="15" width="19" style="99" hidden="1" customWidth="1"/>
    <col min="16" max="16" width="12.33203125" style="99" hidden="1" customWidth="1"/>
    <col min="17" max="17" width="11.88671875" style="99" hidden="1" customWidth="1"/>
    <col min="18" max="18" width="19.109375" style="99" hidden="1" customWidth="1"/>
    <col min="19" max="19" width="14" style="99" hidden="1" customWidth="1"/>
    <col min="20" max="20" width="11.88671875" style="99" hidden="1" customWidth="1"/>
    <col min="21" max="21" width="17.88671875" style="99" hidden="1" customWidth="1"/>
    <col min="22" max="22" width="11.88671875" style="99" hidden="1" customWidth="1"/>
    <col min="23" max="23" width="17.88671875" style="99" hidden="1" customWidth="1"/>
    <col min="24" max="24" width="12.6640625" style="99" hidden="1" customWidth="1"/>
    <col min="25" max="25" width="12" style="99" hidden="1" customWidth="1"/>
    <col min="26" max="26" width="12.109375" style="99" hidden="1" customWidth="1"/>
    <col min="27" max="27" width="14" style="99" hidden="1" customWidth="1"/>
    <col min="28" max="28" width="11.88671875" style="99" hidden="1" customWidth="1"/>
    <col min="29" max="29" width="17.88671875" style="99" hidden="1" customWidth="1"/>
    <col min="30" max="30" width="18" style="99" hidden="1" customWidth="1"/>
    <col min="31" max="31" width="11.44140625" style="99" hidden="1" customWidth="1"/>
    <col min="32" max="32" width="9.109375" style="99" hidden="1" customWidth="1"/>
    <col min="33" max="33" width="9.109375" style="99"/>
    <col min="34" max="34" width="18.5546875" style="99" bestFit="1" customWidth="1"/>
    <col min="35" max="35" width="0.88671875" style="99" customWidth="1"/>
    <col min="36" max="36" width="12.6640625" style="99" customWidth="1"/>
    <col min="37" max="16384" width="9.109375" style="99"/>
  </cols>
  <sheetData>
    <row r="1" spans="1:37">
      <c r="A1" s="343" t="s">
        <v>211</v>
      </c>
      <c r="B1" s="343"/>
      <c r="C1" s="343"/>
      <c r="D1" s="343"/>
      <c r="E1" s="343"/>
      <c r="F1" s="343"/>
      <c r="G1" s="343"/>
      <c r="H1" s="343"/>
      <c r="I1" s="343"/>
      <c r="J1" s="343"/>
      <c r="K1" s="343"/>
      <c r="L1" s="343"/>
      <c r="M1" s="343"/>
      <c r="N1" s="343"/>
      <c r="O1" s="343"/>
      <c r="P1" s="343"/>
      <c r="R1" s="344" t="s">
        <v>227</v>
      </c>
      <c r="S1" s="344"/>
      <c r="T1" s="344"/>
      <c r="U1" s="344"/>
      <c r="V1" s="344"/>
      <c r="W1" s="344"/>
      <c r="X1" s="344"/>
      <c r="Y1" s="344"/>
      <c r="Z1" s="344"/>
      <c r="AA1" s="344"/>
      <c r="AB1" s="344"/>
      <c r="AC1" s="344"/>
      <c r="AD1" s="344"/>
      <c r="AE1" s="344"/>
    </row>
    <row r="2" spans="1:37">
      <c r="A2" s="99" t="s">
        <v>251</v>
      </c>
      <c r="B2" s="296"/>
      <c r="C2" s="296"/>
      <c r="D2" s="289">
        <f>'Table 2'!D2</f>
        <v>41455</v>
      </c>
      <c r="E2" s="383">
        <f>'From PERS'!A421</f>
        <v>41820</v>
      </c>
      <c r="F2" s="383"/>
      <c r="G2" s="384">
        <f>'From PERS'!A387</f>
        <v>42185</v>
      </c>
      <c r="H2" s="384"/>
      <c r="I2" s="382">
        <f>'From PERS'!A353</f>
        <v>42551</v>
      </c>
      <c r="J2" s="382"/>
      <c r="K2" s="379">
        <f>'From PERS'!A319</f>
        <v>42916</v>
      </c>
      <c r="L2" s="379"/>
      <c r="M2" s="380">
        <f>'From PERS'!A285</f>
        <v>43281</v>
      </c>
      <c r="N2" s="380"/>
      <c r="O2" s="296"/>
      <c r="R2" s="99" t="s">
        <v>251</v>
      </c>
      <c r="S2" s="289">
        <f>'From PERS'!A455</f>
        <v>41455</v>
      </c>
      <c r="T2" s="383">
        <f>'From PERS'!A387</f>
        <v>42185</v>
      </c>
      <c r="U2" s="383"/>
      <c r="V2" s="384">
        <f>'From PERS'!A387</f>
        <v>42185</v>
      </c>
      <c r="W2" s="384"/>
      <c r="X2" s="382">
        <f>'From PERS'!A353</f>
        <v>42551</v>
      </c>
      <c r="Y2" s="382"/>
      <c r="Z2" s="379">
        <f>'From PERS'!A319</f>
        <v>42916</v>
      </c>
      <c r="AA2" s="379"/>
      <c r="AB2" s="380">
        <f>'From PERS'!A285</f>
        <v>43281</v>
      </c>
      <c r="AC2" s="380"/>
      <c r="AD2" s="297"/>
    </row>
    <row r="3" spans="1:37" ht="55.2">
      <c r="B3" s="193" t="str">
        <f>'Table 2'!B3</f>
        <v>Difference in experience</v>
      </c>
      <c r="C3" s="193" t="str">
        <f>'Table 2'!C3</f>
        <v>Change in assumption</v>
      </c>
      <c r="D3" s="193" t="str">
        <f>'Table 2'!D3</f>
        <v>Difference in Contributions</v>
      </c>
      <c r="E3" s="193" t="str">
        <f>'Table 2'!E3</f>
        <v>Difference in Contributions</v>
      </c>
      <c r="F3" s="193" t="str">
        <f>'Table 2'!F3</f>
        <v>Change in Proportionate Share</v>
      </c>
      <c r="G3" s="193" t="str">
        <f>'Table 2'!G3</f>
        <v>Difference in Contributions</v>
      </c>
      <c r="H3" s="193" t="str">
        <f>'Table 2'!H3</f>
        <v>Change in Proportionate Share</v>
      </c>
      <c r="I3" s="193" t="str">
        <f>'Table 2'!I3</f>
        <v>Difference in Contributions</v>
      </c>
      <c r="J3" s="193" t="str">
        <f>'Table 2'!J3</f>
        <v>Change in Proportionate Share</v>
      </c>
      <c r="K3" s="193" t="str">
        <f>'Table 2'!K3</f>
        <v>Difference in Contributions</v>
      </c>
      <c r="L3" s="193" t="str">
        <f>'Table 2'!L3</f>
        <v>Change in Proportionate Share</v>
      </c>
      <c r="M3" s="193" t="str">
        <f>'Table 2'!M3</f>
        <v>Difference in Contributions</v>
      </c>
      <c r="N3" s="193" t="str">
        <f>'Table 2'!N3</f>
        <v>Change in Proportionate Share</v>
      </c>
      <c r="O3" s="193" t="str">
        <f>'Table 2'!O3</f>
        <v>Net difference between projected and actual earnings on investments</v>
      </c>
      <c r="P3" s="226" t="s">
        <v>62</v>
      </c>
      <c r="R3" s="106"/>
      <c r="S3" s="297" t="str">
        <f>'Table 2'!S3</f>
        <v>Difference in Contributions</v>
      </c>
      <c r="T3" s="297" t="str">
        <f>'Table 2'!R3</f>
        <v>Amortization Period</v>
      </c>
      <c r="U3" s="297" t="str">
        <f>'Table 2'!S3</f>
        <v>Difference in Contributions</v>
      </c>
      <c r="V3" s="297" t="str">
        <f>'Table 2'!T3</f>
        <v>Difference in Contributions</v>
      </c>
      <c r="W3" s="297" t="str">
        <f>'Table 2'!U3</f>
        <v>Change in Proportionate Share</v>
      </c>
      <c r="X3" s="297" t="str">
        <f>'Table 2'!V3</f>
        <v>Difference in Contributions</v>
      </c>
      <c r="Y3" s="297" t="str">
        <f>'Table 2'!W3</f>
        <v>Change in Proportionate Share</v>
      </c>
      <c r="Z3" s="297" t="str">
        <f>'Table 2'!Z3</f>
        <v>Difference in Contributions</v>
      </c>
      <c r="AA3" s="297" t="str">
        <f>'Table 2'!AA3</f>
        <v>Change in Proportionate Share</v>
      </c>
      <c r="AB3" s="297" t="str">
        <f>'Table 2'!AB3</f>
        <v>Difference in Contributions</v>
      </c>
      <c r="AC3" s="297" t="str">
        <f>'Table 2'!AC3</f>
        <v>Change in Proportionate Share</v>
      </c>
      <c r="AD3" s="297" t="str">
        <f>'Table 2'!AD3</f>
        <v>Net difference between projected and actual earnings on investments</v>
      </c>
      <c r="AE3" s="226" t="s">
        <v>62</v>
      </c>
    </row>
    <row r="4" spans="1:37">
      <c r="A4" s="106" t="s">
        <v>47</v>
      </c>
      <c r="B4" s="190">
        <f>'Table 2'!B4</f>
        <v>5.4</v>
      </c>
      <c r="C4" s="190">
        <f>'Table 2'!C4</f>
        <v>5</v>
      </c>
      <c r="D4" s="190">
        <f>'Table 2'!D4</f>
        <v>5.6</v>
      </c>
      <c r="E4" s="190">
        <f>'Table 2'!E4</f>
        <v>5.4</v>
      </c>
      <c r="F4" s="190">
        <f>'Table 2'!F4</f>
        <v>5.4</v>
      </c>
      <c r="G4" s="190">
        <f>'Table 2'!G4</f>
        <v>5.3</v>
      </c>
      <c r="H4" s="190">
        <f>'Table 2'!H4</f>
        <v>5.3</v>
      </c>
      <c r="I4" s="190">
        <f>'Table 2'!I4</f>
        <v>5.3</v>
      </c>
      <c r="J4" s="190">
        <f>'Table 2'!J4</f>
        <v>5.3</v>
      </c>
      <c r="K4" s="190">
        <f>'Table 2'!K4</f>
        <v>5.2</v>
      </c>
      <c r="L4" s="190">
        <f>'Table 2'!L4</f>
        <v>5.2</v>
      </c>
      <c r="M4" s="190">
        <f>'Table 2'!M4</f>
        <v>5.2</v>
      </c>
      <c r="N4" s="190">
        <f>'Table 2'!N4</f>
        <v>5.2</v>
      </c>
      <c r="O4" s="190">
        <f>'Table 2'!O4</f>
        <v>0</v>
      </c>
      <c r="R4" s="106" t="s">
        <v>47</v>
      </c>
      <c r="S4" s="190">
        <f>'Table 2'!S4</f>
        <v>5.6</v>
      </c>
      <c r="T4" s="190">
        <f>'Table 2'!T4</f>
        <v>5.4</v>
      </c>
      <c r="U4" s="190">
        <f>'Table 2'!U4</f>
        <v>5.4</v>
      </c>
      <c r="V4" s="190">
        <f>'Table 2'!V4</f>
        <v>5.3</v>
      </c>
      <c r="W4" s="190">
        <f>'Table 2'!W4</f>
        <v>5.3</v>
      </c>
      <c r="X4" s="190">
        <f>'Table 2'!X4</f>
        <v>5.3</v>
      </c>
      <c r="Y4" s="190">
        <f>'Table 2'!Y4</f>
        <v>5.3</v>
      </c>
      <c r="Z4" s="190">
        <f>'Table 2'!Z4</f>
        <v>5.3</v>
      </c>
      <c r="AA4" s="190">
        <f>'Table 2'!AA4</f>
        <v>5.2</v>
      </c>
      <c r="AB4" s="190">
        <f>'Table 2'!AB4</f>
        <v>5.2</v>
      </c>
      <c r="AC4" s="190">
        <f>'Table 2'!AC4</f>
        <v>5.2</v>
      </c>
      <c r="AD4" s="190">
        <f>'Table 2'!AD4</f>
        <v>0</v>
      </c>
      <c r="AH4" s="306" t="s">
        <v>316</v>
      </c>
      <c r="AI4" s="106"/>
      <c r="AJ4" s="98"/>
      <c r="AK4" s="98"/>
    </row>
    <row r="5" spans="1:37">
      <c r="A5" s="106" t="str">
        <f>'Table 2'!A8</f>
        <v>FY2021</v>
      </c>
      <c r="B5" s="191">
        <f>'Table 2'!B8</f>
        <v>18470</v>
      </c>
      <c r="C5" s="191">
        <f>'Table 2'!C8</f>
        <v>100137</v>
      </c>
      <c r="D5" s="191">
        <f>'Table 2'!D8</f>
        <v>0</v>
      </c>
      <c r="E5" s="191">
        <f>'Table 2'!E8</f>
        <v>136</v>
      </c>
      <c r="F5" s="191">
        <f>'Table 2'!F8</f>
        <v>0</v>
      </c>
      <c r="G5" s="191">
        <f>'Table 2'!G8</f>
        <v>11027</v>
      </c>
      <c r="H5" s="191">
        <f>'Table 2'!H8</f>
        <v>3493</v>
      </c>
      <c r="I5" s="191">
        <f>'Table 2'!I8</f>
        <v>5876</v>
      </c>
      <c r="J5" s="191">
        <f>'Table 2'!J8</f>
        <v>966</v>
      </c>
      <c r="K5" s="191">
        <f>'Table 2'!K8</f>
        <v>12930</v>
      </c>
      <c r="L5" s="191">
        <f>'Table 2'!L8</f>
        <v>0</v>
      </c>
      <c r="M5" s="191">
        <f>'Table 2'!M8</f>
        <v>1228</v>
      </c>
      <c r="N5" s="191">
        <f>'Table 2'!N8</f>
        <v>46461</v>
      </c>
      <c r="O5" s="191">
        <f>'Table 2'!O8</f>
        <v>0</v>
      </c>
      <c r="P5" s="192">
        <f>SUM(B5:O5)</f>
        <v>200724</v>
      </c>
      <c r="R5" s="106" t="str">
        <f>A5</f>
        <v>FY2021</v>
      </c>
      <c r="S5" s="191">
        <f>'Table 2'!S8</f>
        <v>0</v>
      </c>
      <c r="T5" s="191">
        <f>'Table 2'!T8</f>
        <v>0</v>
      </c>
      <c r="U5" s="191">
        <f>'Table 2'!U8</f>
        <v>2656</v>
      </c>
      <c r="V5" s="191">
        <f>'Table 2'!V8</f>
        <v>0</v>
      </c>
      <c r="W5" s="191">
        <f>'Table 2'!W8</f>
        <v>0</v>
      </c>
      <c r="X5" s="191">
        <f>'Table 2'!X8</f>
        <v>0</v>
      </c>
      <c r="Y5" s="191">
        <f>'Table 2'!Y8</f>
        <v>0</v>
      </c>
      <c r="Z5" s="191">
        <f>'Table 2'!Z8</f>
        <v>0</v>
      </c>
      <c r="AA5" s="191">
        <f>'Table 2'!AA8</f>
        <v>46088</v>
      </c>
      <c r="AB5" s="191">
        <f>'Table 2'!AB8</f>
        <v>0</v>
      </c>
      <c r="AC5" s="191">
        <f>'Table 2'!AC8</f>
        <v>0</v>
      </c>
      <c r="AD5" s="191">
        <f>'Table 2'!AD8</f>
        <v>-14410</v>
      </c>
      <c r="AE5" s="191">
        <f>SUM(S5:AD5)</f>
        <v>34334</v>
      </c>
      <c r="AH5" s="310">
        <v>2021</v>
      </c>
      <c r="AI5" s="106"/>
      <c r="AJ5" s="101">
        <f>+P5-AE5</f>
        <v>166390</v>
      </c>
      <c r="AK5" s="98"/>
    </row>
    <row r="6" spans="1:37">
      <c r="A6" s="106" t="str">
        <f>'Table 2'!A9</f>
        <v>FY2022</v>
      </c>
      <c r="B6" s="191">
        <f>'Table 2'!B9</f>
        <v>18470</v>
      </c>
      <c r="C6" s="191">
        <f>'Table 2'!C9</f>
        <v>55733</v>
      </c>
      <c r="D6" s="191">
        <f>'Table 2'!D9</f>
        <v>0</v>
      </c>
      <c r="E6" s="191">
        <f>'Table 2'!E9</f>
        <v>0</v>
      </c>
      <c r="F6" s="191">
        <f>'Table 2'!F9</f>
        <v>0</v>
      </c>
      <c r="G6" s="191">
        <f>'Table 2'!G9</f>
        <v>3306</v>
      </c>
      <c r="H6" s="191">
        <f>'Table 2'!H9</f>
        <v>1047</v>
      </c>
      <c r="I6" s="191">
        <f>'Table 2'!I9</f>
        <v>5876</v>
      </c>
      <c r="J6" s="191">
        <f>'Table 2'!J9</f>
        <v>966</v>
      </c>
      <c r="K6" s="191">
        <f>'Table 2'!K9</f>
        <v>12930</v>
      </c>
      <c r="L6" s="191">
        <f>'Table 2'!L9</f>
        <v>0</v>
      </c>
      <c r="M6" s="191">
        <f>'Table 2'!M9</f>
        <v>1228</v>
      </c>
      <c r="N6" s="191">
        <f>'Table 2'!N9</f>
        <v>46461</v>
      </c>
      <c r="O6" s="191">
        <f>'Table 2'!O9</f>
        <v>0</v>
      </c>
      <c r="P6" s="192">
        <f t="shared" ref="P6:P9" si="0">SUM(B6:O6)</f>
        <v>146017</v>
      </c>
      <c r="R6" s="106" t="str">
        <f t="shared" ref="R6:R9" si="1">A6</f>
        <v>FY2022</v>
      </c>
      <c r="S6" s="191">
        <f>'Table 2'!S9</f>
        <v>0</v>
      </c>
      <c r="T6" s="191">
        <f>'Table 2'!T9</f>
        <v>0</v>
      </c>
      <c r="U6" s="191">
        <f>'Table 2'!U9</f>
        <v>0</v>
      </c>
      <c r="V6" s="191">
        <f>'Table 2'!V9</f>
        <v>0</v>
      </c>
      <c r="W6" s="191">
        <f>'Table 2'!W9</f>
        <v>0</v>
      </c>
      <c r="X6" s="191">
        <f>'Table 2'!X9</f>
        <v>0</v>
      </c>
      <c r="Y6" s="191">
        <f>'Table 2'!Y9</f>
        <v>0</v>
      </c>
      <c r="Z6" s="191">
        <f>'Table 2'!Z9</f>
        <v>0</v>
      </c>
      <c r="AA6" s="191">
        <f>'Table 2'!AA9</f>
        <v>46088</v>
      </c>
      <c r="AB6" s="191">
        <f>'Table 2'!AB9</f>
        <v>0</v>
      </c>
      <c r="AC6" s="191">
        <f>'Table 2'!AC9</f>
        <v>0</v>
      </c>
      <c r="AD6" s="191">
        <f>'Table 2'!AD9</f>
        <v>62159</v>
      </c>
      <c r="AE6" s="191">
        <f t="shared" ref="AE6:AE9" si="2">SUM(S6:AD6)</f>
        <v>108247</v>
      </c>
      <c r="AH6" s="106">
        <f>AH5+1</f>
        <v>2022</v>
      </c>
      <c r="AI6" s="106"/>
      <c r="AJ6" s="102">
        <f t="shared" ref="AJ6:AJ10" si="3">+P6-AE6</f>
        <v>37770</v>
      </c>
      <c r="AK6" s="98"/>
    </row>
    <row r="7" spans="1:37">
      <c r="A7" s="106" t="str">
        <f>'Table 2'!A10</f>
        <v>FY2023</v>
      </c>
      <c r="B7" s="191">
        <f>'Table 2'!B10</f>
        <v>18470</v>
      </c>
      <c r="C7" s="191">
        <f>'Table 2'!C10</f>
        <v>36703</v>
      </c>
      <c r="D7" s="191">
        <f>'Table 2'!D10</f>
        <v>0</v>
      </c>
      <c r="E7" s="191">
        <f>'Table 2'!E10</f>
        <v>0</v>
      </c>
      <c r="F7" s="191">
        <f>'Table 2'!F10</f>
        <v>0</v>
      </c>
      <c r="G7" s="191">
        <f>'Table 2'!G10</f>
        <v>0</v>
      </c>
      <c r="H7" s="191">
        <f>'Table 2'!H10</f>
        <v>0</v>
      </c>
      <c r="I7" s="191">
        <f>'Table 2'!I10</f>
        <v>1762</v>
      </c>
      <c r="J7" s="191">
        <f>'Table 2'!J10</f>
        <v>290</v>
      </c>
      <c r="K7" s="191">
        <f>'Table 2'!K10</f>
        <v>12930</v>
      </c>
      <c r="L7" s="191">
        <f>'Table 2'!L10</f>
        <v>0</v>
      </c>
      <c r="M7" s="191">
        <f>'Table 2'!M10</f>
        <v>1228</v>
      </c>
      <c r="N7" s="191">
        <f>'Table 2'!N10</f>
        <v>46461</v>
      </c>
      <c r="O7" s="191">
        <f>'Table 2'!O10</f>
        <v>0</v>
      </c>
      <c r="P7" s="192">
        <f t="shared" si="0"/>
        <v>117844</v>
      </c>
      <c r="R7" s="106" t="str">
        <f t="shared" si="1"/>
        <v>FY2023</v>
      </c>
      <c r="S7" s="191">
        <f>'Table 2'!S10</f>
        <v>0</v>
      </c>
      <c r="T7" s="191">
        <f>'Table 2'!T10</f>
        <v>0</v>
      </c>
      <c r="U7" s="191">
        <f>'Table 2'!U10</f>
        <v>0</v>
      </c>
      <c r="V7" s="191">
        <f>'Table 2'!V10</f>
        <v>0</v>
      </c>
      <c r="W7" s="191">
        <f>'Table 2'!W10</f>
        <v>0</v>
      </c>
      <c r="X7" s="191">
        <f>'Table 2'!X10</f>
        <v>0</v>
      </c>
      <c r="Y7" s="191">
        <f>'Table 2'!Y10</f>
        <v>0</v>
      </c>
      <c r="Z7" s="191">
        <f>'Table 2'!Z10</f>
        <v>0</v>
      </c>
      <c r="AA7" s="191">
        <f>'Table 2'!AA10</f>
        <v>46088</v>
      </c>
      <c r="AB7" s="191">
        <f>'Table 2'!AB10</f>
        <v>0</v>
      </c>
      <c r="AC7" s="191">
        <f>'Table 2'!AC10</f>
        <v>0</v>
      </c>
      <c r="AD7" s="191">
        <f>'Table 2'!AD10</f>
        <v>8862</v>
      </c>
      <c r="AE7" s="191">
        <f t="shared" si="2"/>
        <v>54950</v>
      </c>
      <c r="AH7" s="106">
        <f t="shared" ref="AH7:AH9" si="4">AH6+1</f>
        <v>2023</v>
      </c>
      <c r="AI7" s="106"/>
      <c r="AJ7" s="102">
        <f t="shared" si="3"/>
        <v>62894</v>
      </c>
      <c r="AK7" s="98"/>
    </row>
    <row r="8" spans="1:37">
      <c r="A8" s="106" t="str">
        <f>'Table 2'!A11</f>
        <v>FY2024</v>
      </c>
      <c r="B8" s="191">
        <f>'Table 2'!B11</f>
        <v>18470</v>
      </c>
      <c r="C8" s="191">
        <f>'Table 2'!C11</f>
        <v>7341</v>
      </c>
      <c r="D8" s="191">
        <f>'Table 2'!D11</f>
        <v>0</v>
      </c>
      <c r="E8" s="191">
        <f>'Table 2'!E11</f>
        <v>0</v>
      </c>
      <c r="F8" s="191">
        <f>'Table 2'!F11</f>
        <v>0</v>
      </c>
      <c r="G8" s="191">
        <f>'Table 2'!G11</f>
        <v>0</v>
      </c>
      <c r="H8" s="191">
        <f>'Table 2'!H11</f>
        <v>0</v>
      </c>
      <c r="I8" s="191">
        <f>'Table 2'!I11</f>
        <v>0</v>
      </c>
      <c r="J8" s="191">
        <f>'Table 2'!J11</f>
        <v>0</v>
      </c>
      <c r="K8" s="191">
        <f>'Table 2'!K11</f>
        <v>2585</v>
      </c>
      <c r="L8" s="191">
        <f>'Table 2'!L11</f>
        <v>0</v>
      </c>
      <c r="M8" s="191">
        <f>'Table 2'!M11</f>
        <v>1228</v>
      </c>
      <c r="N8" s="191">
        <f>'Table 2'!N11</f>
        <v>46461</v>
      </c>
      <c r="O8" s="191">
        <f>'Table 2'!O11</f>
        <v>0</v>
      </c>
      <c r="P8" s="192">
        <f t="shared" si="0"/>
        <v>76085</v>
      </c>
      <c r="R8" s="106" t="str">
        <f t="shared" si="1"/>
        <v>FY2024</v>
      </c>
      <c r="S8" s="191">
        <f>'Table 2'!S11</f>
        <v>0</v>
      </c>
      <c r="T8" s="191">
        <f>'Table 2'!T11</f>
        <v>0</v>
      </c>
      <c r="U8" s="191">
        <f>'Table 2'!U11</f>
        <v>0</v>
      </c>
      <c r="V8" s="191">
        <f>'Table 2'!V11</f>
        <v>0</v>
      </c>
      <c r="W8" s="191">
        <f>'Table 2'!W11</f>
        <v>0</v>
      </c>
      <c r="X8" s="191">
        <f>'Table 2'!X11</f>
        <v>0</v>
      </c>
      <c r="Y8" s="191">
        <f>'Table 2'!Y11</f>
        <v>0</v>
      </c>
      <c r="Z8" s="191">
        <f>'Table 2'!Z11</f>
        <v>0</v>
      </c>
      <c r="AA8" s="191">
        <f>'Table 2'!AA11</f>
        <v>9217</v>
      </c>
      <c r="AB8" s="191">
        <f>'Table 2'!AB11</f>
        <v>0</v>
      </c>
      <c r="AC8" s="191">
        <f>'Table 2'!AC11</f>
        <v>0</v>
      </c>
      <c r="AD8" s="191">
        <f>'Table 2'!AD11</f>
        <v>-14835</v>
      </c>
      <c r="AE8" s="191">
        <f t="shared" si="2"/>
        <v>-5618</v>
      </c>
      <c r="AH8" s="106">
        <f t="shared" si="4"/>
        <v>2024</v>
      </c>
      <c r="AI8" s="106"/>
      <c r="AJ8" s="102">
        <f t="shared" si="3"/>
        <v>81703</v>
      </c>
      <c r="AK8" s="98"/>
    </row>
    <row r="9" spans="1:37">
      <c r="A9" s="106" t="str">
        <f>'Table 2'!A12</f>
        <v>FY2025</v>
      </c>
      <c r="B9" s="191">
        <f>'Table 2'!B12</f>
        <v>7386</v>
      </c>
      <c r="C9" s="191">
        <f>'Table 2'!C12</f>
        <v>0</v>
      </c>
      <c r="D9" s="191">
        <f>'Table 2'!D12</f>
        <v>0</v>
      </c>
      <c r="E9" s="191">
        <f>'Table 2'!E12</f>
        <v>0</v>
      </c>
      <c r="F9" s="191">
        <f>'Table 2'!F12</f>
        <v>0</v>
      </c>
      <c r="G9" s="191">
        <f>'Table 2'!G12</f>
        <v>0</v>
      </c>
      <c r="H9" s="191">
        <f>'Table 2'!H12</f>
        <v>0</v>
      </c>
      <c r="I9" s="191">
        <f>'Table 2'!I12</f>
        <v>0</v>
      </c>
      <c r="J9" s="191">
        <f>'Table 2'!J12</f>
        <v>0</v>
      </c>
      <c r="K9" s="191">
        <f>'Table 2'!K12</f>
        <v>0</v>
      </c>
      <c r="L9" s="191">
        <f>'Table 2'!L12</f>
        <v>0</v>
      </c>
      <c r="M9" s="191">
        <f>'Table 2'!M12</f>
        <v>244</v>
      </c>
      <c r="N9" s="191">
        <f>'Table 2'!N12</f>
        <v>9290</v>
      </c>
      <c r="O9" s="191">
        <f>'Table 2'!O12</f>
        <v>0</v>
      </c>
      <c r="P9" s="192">
        <f t="shared" si="0"/>
        <v>16920</v>
      </c>
      <c r="R9" s="106" t="str">
        <f t="shared" si="1"/>
        <v>FY2025</v>
      </c>
      <c r="S9" s="191">
        <f>'Table 2'!S12</f>
        <v>0</v>
      </c>
      <c r="T9" s="191">
        <f>'Table 2'!T12</f>
        <v>0</v>
      </c>
      <c r="U9" s="191">
        <f>'Table 2'!U12</f>
        <v>0</v>
      </c>
      <c r="V9" s="191">
        <f>'Table 2'!V12</f>
        <v>0</v>
      </c>
      <c r="W9" s="191">
        <f>'Table 2'!W12</f>
        <v>0</v>
      </c>
      <c r="X9" s="191">
        <f>'Table 2'!X12</f>
        <v>0</v>
      </c>
      <c r="Y9" s="191">
        <f>'Table 2'!Y12</f>
        <v>0</v>
      </c>
      <c r="Z9" s="191">
        <f>'Table 2'!Z12</f>
        <v>0</v>
      </c>
      <c r="AA9" s="191">
        <f>'Table 2'!AA12</f>
        <v>0</v>
      </c>
      <c r="AB9" s="191">
        <f>'Table 2'!AB12</f>
        <v>0</v>
      </c>
      <c r="AC9" s="191">
        <f>'Table 2'!AC12</f>
        <v>0</v>
      </c>
      <c r="AD9" s="191">
        <f>'Table 2'!AD12</f>
        <v>0</v>
      </c>
      <c r="AE9" s="191">
        <f t="shared" si="2"/>
        <v>0</v>
      </c>
      <c r="AH9" s="106">
        <f t="shared" si="4"/>
        <v>2025</v>
      </c>
      <c r="AI9" s="106"/>
      <c r="AJ9" s="102">
        <f t="shared" si="3"/>
        <v>16920</v>
      </c>
      <c r="AK9" s="98"/>
    </row>
    <row r="10" spans="1:37" hidden="1">
      <c r="A10" s="106" t="s">
        <v>317</v>
      </c>
      <c r="B10" s="189"/>
      <c r="C10" s="189"/>
      <c r="D10" s="189"/>
      <c r="E10" s="189"/>
      <c r="F10" s="189"/>
      <c r="G10" s="189"/>
      <c r="H10" s="189"/>
      <c r="I10" s="189"/>
      <c r="J10" s="189"/>
      <c r="K10" s="189"/>
      <c r="L10" s="189"/>
      <c r="M10" s="134"/>
      <c r="N10" s="134"/>
      <c r="O10" s="134"/>
      <c r="P10" s="192">
        <f t="shared" ref="P10" si="5">SUM(D10:O10)</f>
        <v>0</v>
      </c>
      <c r="R10" s="106" t="str">
        <f>A10</f>
        <v>Thereafter</v>
      </c>
      <c r="S10" s="189"/>
      <c r="T10" s="189"/>
      <c r="U10" s="189"/>
      <c r="V10" s="189"/>
      <c r="W10" s="189"/>
      <c r="X10" s="189"/>
      <c r="Y10" s="189"/>
      <c r="Z10" s="189"/>
      <c r="AA10" s="189"/>
      <c r="AB10" s="189"/>
      <c r="AC10" s="189"/>
      <c r="AD10" s="189"/>
      <c r="AE10" s="141"/>
      <c r="AH10" s="106" t="str">
        <f>A10</f>
        <v>Thereafter</v>
      </c>
      <c r="AI10" s="106"/>
      <c r="AJ10" s="102">
        <f t="shared" si="3"/>
        <v>0</v>
      </c>
      <c r="AK10" s="98"/>
    </row>
    <row r="11" spans="1:37" ht="14.4" thickBot="1">
      <c r="A11" s="99" t="s">
        <v>62</v>
      </c>
      <c r="B11" s="194">
        <f t="shared" ref="B11:O11" si="6">SUM(B5:B9)</f>
        <v>81266</v>
      </c>
      <c r="C11" s="194">
        <f t="shared" si="6"/>
        <v>199914</v>
      </c>
      <c r="D11" s="194">
        <f t="shared" si="6"/>
        <v>0</v>
      </c>
      <c r="E11" s="194">
        <f t="shared" si="6"/>
        <v>136</v>
      </c>
      <c r="F11" s="194">
        <f t="shared" si="6"/>
        <v>0</v>
      </c>
      <c r="G11" s="194">
        <f t="shared" si="6"/>
        <v>14333</v>
      </c>
      <c r="H11" s="194">
        <f t="shared" si="6"/>
        <v>4540</v>
      </c>
      <c r="I11" s="194">
        <f t="shared" si="6"/>
        <v>13514</v>
      </c>
      <c r="J11" s="194">
        <f t="shared" si="6"/>
        <v>2222</v>
      </c>
      <c r="K11" s="194">
        <f t="shared" si="6"/>
        <v>41375</v>
      </c>
      <c r="L11" s="194">
        <f t="shared" si="6"/>
        <v>0</v>
      </c>
      <c r="M11" s="194">
        <f t="shared" si="6"/>
        <v>5156</v>
      </c>
      <c r="N11" s="194">
        <f t="shared" si="6"/>
        <v>195134</v>
      </c>
      <c r="O11" s="194">
        <f t="shared" si="6"/>
        <v>0</v>
      </c>
      <c r="P11" s="227">
        <f>SUM(P5:P9)</f>
        <v>557590</v>
      </c>
      <c r="R11" s="99" t="s">
        <v>62</v>
      </c>
      <c r="S11" s="194">
        <f>SUM(S5:S9)</f>
        <v>0</v>
      </c>
      <c r="T11" s="194">
        <f t="shared" ref="T11:AD11" si="7">SUM(T5:T9)</f>
        <v>0</v>
      </c>
      <c r="U11" s="194">
        <f t="shared" si="7"/>
        <v>2656</v>
      </c>
      <c r="V11" s="194">
        <f t="shared" si="7"/>
        <v>0</v>
      </c>
      <c r="W11" s="194">
        <f t="shared" si="7"/>
        <v>0</v>
      </c>
      <c r="X11" s="194">
        <f t="shared" si="7"/>
        <v>0</v>
      </c>
      <c r="Y11" s="194">
        <f t="shared" si="7"/>
        <v>0</v>
      </c>
      <c r="Z11" s="194">
        <f t="shared" si="7"/>
        <v>0</v>
      </c>
      <c r="AA11" s="194">
        <f t="shared" si="7"/>
        <v>147481</v>
      </c>
      <c r="AB11" s="194">
        <f t="shared" si="7"/>
        <v>0</v>
      </c>
      <c r="AC11" s="194">
        <f t="shared" si="7"/>
        <v>0</v>
      </c>
      <c r="AD11" s="194">
        <f t="shared" si="7"/>
        <v>41776</v>
      </c>
      <c r="AE11" s="227">
        <f t="shared" ref="AE11" si="8">SUM(AE5:AE9)</f>
        <v>191913</v>
      </c>
      <c r="AH11" s="98" t="s">
        <v>62</v>
      </c>
      <c r="AI11" s="98"/>
      <c r="AJ11" s="311">
        <f>SUM(AJ5:AJ10)</f>
        <v>365677</v>
      </c>
      <c r="AK11" s="98"/>
    </row>
    <row r="12" spans="1:37" ht="8.4" customHeight="1" thickTop="1">
      <c r="B12" s="141"/>
      <c r="C12" s="141"/>
      <c r="E12" s="141"/>
      <c r="F12" s="141"/>
      <c r="G12" s="141"/>
      <c r="H12" s="141"/>
      <c r="I12" s="141"/>
      <c r="J12" s="141"/>
      <c r="K12" s="141"/>
      <c r="L12" s="141"/>
      <c r="M12" s="141"/>
      <c r="N12" s="141"/>
      <c r="O12" s="141"/>
      <c r="S12" s="152"/>
      <c r="T12" s="151"/>
      <c r="U12" s="152"/>
      <c r="V12" s="151"/>
      <c r="W12" s="152"/>
      <c r="X12" s="141"/>
      <c r="Y12" s="141"/>
      <c r="Z12" s="141"/>
      <c r="AA12" s="152"/>
      <c r="AB12" s="151"/>
      <c r="AC12" s="152"/>
      <c r="AD12" s="141"/>
      <c r="AH12" s="98"/>
      <c r="AI12" s="98"/>
      <c r="AJ12" s="98"/>
      <c r="AK12" s="98"/>
    </row>
    <row r="13" spans="1:37">
      <c r="AH13" s="98"/>
      <c r="AI13" s="98"/>
      <c r="AJ13" s="98"/>
      <c r="AK13" s="98"/>
    </row>
    <row r="15" spans="1:37">
      <c r="M15" s="146"/>
      <c r="N15" s="146"/>
      <c r="O15" s="146"/>
      <c r="P15" s="141"/>
    </row>
    <row r="17" spans="13:36">
      <c r="M17" s="146"/>
      <c r="N17" s="146"/>
      <c r="O17" s="146"/>
      <c r="P17" s="141"/>
      <c r="AJ17" s="150">
        <f>-AJ11+'State Schedule'!C31-'State Schedule'!D31</f>
        <v>0</v>
      </c>
    </row>
    <row r="18" spans="13:36">
      <c r="M18" s="146"/>
      <c r="N18" s="146"/>
      <c r="O18" s="146"/>
      <c r="P18" s="141"/>
    </row>
    <row r="19" spans="13:36">
      <c r="P19" s="141"/>
      <c r="Q19" s="147"/>
    </row>
    <row r="21" spans="13:36" s="107" customFormat="1"/>
    <row r="34" spans="13:16">
      <c r="M34" s="146"/>
      <c r="N34" s="146"/>
      <c r="O34" s="146"/>
      <c r="P34" s="141"/>
    </row>
    <row r="35" spans="13:16">
      <c r="M35" s="146"/>
      <c r="N35" s="146"/>
      <c r="O35" s="146"/>
      <c r="P35" s="141"/>
    </row>
    <row r="37" spans="13:16">
      <c r="M37" s="146"/>
      <c r="N37" s="146"/>
      <c r="O37" s="146"/>
      <c r="P37" s="141"/>
    </row>
    <row r="38" spans="13:16">
      <c r="M38" s="146"/>
      <c r="N38" s="146"/>
      <c r="O38" s="146"/>
      <c r="P38" s="141"/>
    </row>
    <row r="39" spans="13:16">
      <c r="M39" s="146"/>
      <c r="N39" s="146"/>
      <c r="O39" s="146"/>
      <c r="P39" s="141"/>
    </row>
    <row r="40" spans="13:16">
      <c r="P40" s="141"/>
    </row>
    <row r="41" spans="13:16">
      <c r="P41" s="141"/>
    </row>
    <row r="43" spans="13:16">
      <c r="P43" s="141"/>
    </row>
    <row r="44" spans="13:16">
      <c r="P44" s="141"/>
    </row>
    <row r="48" spans="13:16">
      <c r="P48" s="141"/>
    </row>
    <row r="49" spans="16:16">
      <c r="P49" s="141"/>
    </row>
    <row r="50" spans="16:16">
      <c r="P50" s="141"/>
    </row>
  </sheetData>
  <mergeCells count="10">
    <mergeCell ref="E2:F2"/>
    <mergeCell ref="I2:J2"/>
    <mergeCell ref="K2:L2"/>
    <mergeCell ref="M2:N2"/>
    <mergeCell ref="V2:W2"/>
    <mergeCell ref="X2:Y2"/>
    <mergeCell ref="Z2:AA2"/>
    <mergeCell ref="AB2:AC2"/>
    <mergeCell ref="G2:H2"/>
    <mergeCell ref="T2:U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45"/>
  <sheetViews>
    <sheetView workbookViewId="0">
      <selection activeCell="E11" sqref="E11"/>
    </sheetView>
  </sheetViews>
  <sheetFormatPr defaultColWidth="9.109375" defaultRowHeight="14.4"/>
  <cols>
    <col min="1" max="1" width="36.5546875" style="99" customWidth="1"/>
    <col min="2" max="2" width="18" style="99" customWidth="1"/>
    <col min="3" max="3" width="3.6640625" style="99" customWidth="1"/>
    <col min="4" max="4" width="16.33203125" style="99" customWidth="1"/>
    <col min="5" max="5" width="9.109375" style="99"/>
    <col min="6" max="6" width="19.44140625" customWidth="1"/>
    <col min="7" max="7" width="10.5546875" customWidth="1"/>
    <col min="9" max="9" width="19" bestFit="1" customWidth="1"/>
    <col min="10" max="10" width="3.6640625" customWidth="1"/>
    <col min="11" max="11" width="18.88671875" customWidth="1"/>
    <col min="12" max="12" width="3.6640625" customWidth="1"/>
    <col min="13" max="13" width="19" customWidth="1"/>
  </cols>
  <sheetData>
    <row r="1" spans="1:16">
      <c r="A1" s="108" t="s">
        <v>63</v>
      </c>
      <c r="B1" s="408">
        <v>43100</v>
      </c>
      <c r="C1" s="409"/>
      <c r="D1" s="410"/>
      <c r="E1" s="98"/>
      <c r="F1" s="345"/>
      <c r="G1" s="345" t="s">
        <v>401</v>
      </c>
      <c r="H1" s="345"/>
      <c r="I1" s="345"/>
      <c r="J1" s="345"/>
      <c r="K1" s="345"/>
      <c r="L1" s="345"/>
      <c r="M1" s="345"/>
      <c r="N1" s="345"/>
      <c r="O1" s="345"/>
      <c r="P1" s="345"/>
    </row>
    <row r="2" spans="1:16">
      <c r="A2" s="108" t="s">
        <v>247</v>
      </c>
      <c r="B2" s="408">
        <v>43646</v>
      </c>
      <c r="C2" s="409"/>
      <c r="D2" s="410"/>
      <c r="E2" s="98"/>
      <c r="F2" s="345"/>
      <c r="G2" s="346" t="s">
        <v>402</v>
      </c>
      <c r="H2" s="345"/>
      <c r="I2" s="345"/>
      <c r="J2" s="345"/>
      <c r="K2" s="345"/>
      <c r="L2" s="345"/>
      <c r="M2" s="345"/>
      <c r="N2" s="345"/>
      <c r="O2" s="345"/>
      <c r="P2" s="345"/>
    </row>
    <row r="3" spans="1:16">
      <c r="A3" s="108" t="s">
        <v>64</v>
      </c>
      <c r="B3" s="411" t="s">
        <v>366</v>
      </c>
      <c r="C3" s="411"/>
      <c r="D3" s="411"/>
      <c r="E3" s="98"/>
    </row>
    <row r="4" spans="1:16">
      <c r="A4" s="108" t="s">
        <v>65</v>
      </c>
      <c r="B4" s="411" t="s">
        <v>66</v>
      </c>
      <c r="C4" s="411"/>
      <c r="D4" s="411"/>
      <c r="E4" s="98"/>
    </row>
    <row r="5" spans="1:16">
      <c r="A5" s="109" t="s">
        <v>67</v>
      </c>
      <c r="B5" s="307"/>
      <c r="C5" s="307"/>
      <c r="D5" s="308"/>
      <c r="E5" s="98"/>
    </row>
    <row r="6" spans="1:16">
      <c r="A6" s="110" t="s">
        <v>68</v>
      </c>
      <c r="B6" s="407" t="s">
        <v>302</v>
      </c>
      <c r="C6" s="407"/>
      <c r="D6" s="407"/>
      <c r="E6" s="98"/>
    </row>
    <row r="7" spans="1:16" s="21" customFormat="1">
      <c r="A7" s="186" t="s">
        <v>244</v>
      </c>
      <c r="B7" s="187" t="s">
        <v>367</v>
      </c>
      <c r="C7" s="307"/>
      <c r="D7" s="308"/>
      <c r="E7" s="309"/>
    </row>
    <row r="8" spans="1:16">
      <c r="A8" s="111" t="s">
        <v>245</v>
      </c>
      <c r="B8" s="388" t="s">
        <v>367</v>
      </c>
      <c r="C8" s="388"/>
      <c r="D8" s="388"/>
      <c r="E8" s="98"/>
    </row>
    <row r="9" spans="1:16">
      <c r="A9" s="110" t="s">
        <v>69</v>
      </c>
      <c r="B9" s="389" t="s">
        <v>304</v>
      </c>
      <c r="C9" s="390"/>
      <c r="D9" s="391"/>
      <c r="E9" s="98"/>
    </row>
    <row r="10" spans="1:16" ht="42.6" customHeight="1">
      <c r="A10" s="112" t="s">
        <v>246</v>
      </c>
      <c r="B10" s="404" t="s">
        <v>305</v>
      </c>
      <c r="C10" s="405"/>
      <c r="D10" s="406"/>
      <c r="E10" s="98"/>
    </row>
    <row r="11" spans="1:16">
      <c r="A11" s="112" t="s">
        <v>70</v>
      </c>
      <c r="B11" s="392" t="s">
        <v>418</v>
      </c>
      <c r="C11" s="393"/>
      <c r="D11" s="394"/>
      <c r="E11" s="98"/>
    </row>
    <row r="12" spans="1:16">
      <c r="A12" s="113"/>
      <c r="B12" s="395"/>
      <c r="C12" s="396"/>
      <c r="D12" s="397"/>
      <c r="E12" s="98"/>
    </row>
    <row r="13" spans="1:16" ht="12.6" customHeight="1">
      <c r="A13" s="114"/>
      <c r="B13" s="395"/>
      <c r="C13" s="396"/>
      <c r="D13" s="397"/>
      <c r="E13" s="98"/>
    </row>
    <row r="14" spans="1:16" ht="36.75" customHeight="1">
      <c r="A14" s="114"/>
      <c r="B14" s="395"/>
      <c r="C14" s="396"/>
      <c r="D14" s="397"/>
      <c r="E14" s="98"/>
    </row>
    <row r="15" spans="1:16">
      <c r="A15" s="114"/>
      <c r="B15" s="398" t="s">
        <v>368</v>
      </c>
      <c r="C15" s="399"/>
      <c r="D15" s="400"/>
      <c r="E15" s="98"/>
    </row>
    <row r="16" spans="1:16">
      <c r="A16" s="114"/>
      <c r="B16" s="395"/>
      <c r="C16" s="396"/>
      <c r="D16" s="397"/>
      <c r="E16" s="98"/>
    </row>
    <row r="17" spans="1:6" ht="13.95" customHeight="1">
      <c r="A17" s="114"/>
      <c r="B17" s="395"/>
      <c r="C17" s="396"/>
      <c r="D17" s="397"/>
      <c r="E17" s="98"/>
    </row>
    <row r="18" spans="1:6" ht="30" customHeight="1">
      <c r="A18" s="114"/>
      <c r="B18" s="395"/>
      <c r="C18" s="396"/>
      <c r="D18" s="397"/>
      <c r="E18" s="98"/>
    </row>
    <row r="19" spans="1:6">
      <c r="A19" s="114"/>
      <c r="B19" s="398" t="s">
        <v>369</v>
      </c>
      <c r="C19" s="399"/>
      <c r="D19" s="400"/>
      <c r="E19" s="98"/>
    </row>
    <row r="20" spans="1:6">
      <c r="A20" s="114"/>
      <c r="B20" s="395"/>
      <c r="C20" s="396"/>
      <c r="D20" s="397"/>
      <c r="E20" s="98"/>
    </row>
    <row r="21" spans="1:6">
      <c r="A21" s="114"/>
      <c r="B21" s="395"/>
      <c r="C21" s="396"/>
      <c r="D21" s="397"/>
      <c r="E21" s="98"/>
    </row>
    <row r="22" spans="1:6" ht="3.75" customHeight="1">
      <c r="A22" s="115"/>
      <c r="B22" s="401"/>
      <c r="C22" s="402"/>
      <c r="D22" s="403"/>
      <c r="E22" s="98"/>
    </row>
    <row r="23" spans="1:6" ht="30" hidden="1" customHeight="1">
      <c r="A23" s="385" t="s">
        <v>306</v>
      </c>
      <c r="B23" s="386"/>
      <c r="C23" s="386"/>
      <c r="D23" s="387"/>
      <c r="E23" s="98"/>
    </row>
    <row r="24" spans="1:6" ht="10.5" customHeight="1">
      <c r="A24" s="98"/>
      <c r="B24" s="98"/>
      <c r="C24" s="98"/>
      <c r="D24" s="98"/>
      <c r="E24" s="98"/>
      <c r="F24" s="21"/>
    </row>
    <row r="29" spans="1:6" ht="15" customHeight="1"/>
    <row r="45" ht="15" customHeight="1"/>
  </sheetData>
  <mergeCells count="12">
    <mergeCell ref="B6:D6"/>
    <mergeCell ref="B1:D1"/>
    <mergeCell ref="B3:D3"/>
    <mergeCell ref="B4:D4"/>
    <mergeCell ref="B2:D2"/>
    <mergeCell ref="A23:D23"/>
    <mergeCell ref="B8:D8"/>
    <mergeCell ref="B9:D9"/>
    <mergeCell ref="B11:D14"/>
    <mergeCell ref="B15:D18"/>
    <mergeCell ref="B19:D22"/>
    <mergeCell ref="B10:D10"/>
  </mergeCells>
  <hyperlinks>
    <hyperlink ref="G2" r:id="rId1" xr:uid="{A14CE5FA-A4E0-4588-B451-57346CA7D034}"/>
  </hyperlinks>
  <pageMargins left="0.7" right="0.7" top="0.75" bottom="0.75" header="0.3" footer="0.3"/>
  <pageSetup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FY19 Entries</vt:lpstr>
      <vt:lpstr>State Schedule</vt:lpstr>
      <vt:lpstr>From PERS</vt:lpstr>
      <vt:lpstr>Change in proportionate Share</vt:lpstr>
      <vt:lpstr>Table 1</vt:lpstr>
      <vt:lpstr>Table 2</vt:lpstr>
      <vt:lpstr>Table 2 FS Ready</vt:lpstr>
      <vt:lpstr>Table 3</vt:lpstr>
      <vt:lpstr>Table 4</vt:lpstr>
      <vt:lpstr>Table 6</vt:lpstr>
      <vt:lpstr>Table 5</vt:lpstr>
      <vt:lpstr>RSI Schedule of Prop Share</vt:lpstr>
      <vt:lpstr>RSI Schedule of Cont</vt:lpstr>
      <vt:lpstr>'Change in proportionate Share'!Print_Area</vt:lpstr>
      <vt:lpstr>'From PERS'!Print_Area</vt:lpstr>
      <vt:lpstr>'FY19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Tonya Moffitt</cp:lastModifiedBy>
  <cp:lastPrinted>2018-09-02T00:26:52Z</cp:lastPrinted>
  <dcterms:created xsi:type="dcterms:W3CDTF">2015-09-24T19:59:11Z</dcterms:created>
  <dcterms:modified xsi:type="dcterms:W3CDTF">2021-10-22T18:59:30Z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Klamath Falls</vt:lpwstr>
  </property>
  <property fmtid="{D5CDD505-2E9C-101B-9397-08002B2CF9AE}" pid="4" name="PPC_Template_Engagement_Date">
    <vt:lpwstr>6/30/2016</vt:lpwstr>
  </property>
</Properties>
</file>