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OSCPA\_PROF DEV\Historical &amp; Reference\Governmental Committee Resources\GASB\OPERS - GASB 68 - 5th Year\"/>
    </mc:Choice>
  </mc:AlternateContent>
  <xr:revisionPtr revIDLastSave="0" documentId="8_{40F5DBE4-B1C8-4F6C-AA5A-A1F206CF9B88}" xr6:coauthVersionLast="47" xr6:coauthVersionMax="47" xr10:uidLastSave="{00000000-0000-0000-0000-000000000000}"/>
  <bookViews>
    <workbookView xWindow="1536" yWindow="636" windowWidth="15816" windowHeight="12324" xr2:uid="{3AFED351-A377-40C8-B3FC-A7C1E57866E1}"/>
  </bookViews>
  <sheets>
    <sheet name="Lead Sheet" sheetId="13" r:id="rId1"/>
    <sheet name="FY19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5" sheetId="9" r:id="rId9"/>
    <sheet name="Table 3" sheetId="7" r:id="rId10"/>
    <sheet name="Table 4" sheetId="8" r:id="rId11"/>
    <sheet name="Table 6" sheetId="12" state="hidden"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9">#REF!</definedName>
    <definedName name="_sa1" localSheetId="10">#REF!</definedName>
    <definedName name="_sa1" localSheetId="8">#REF!</definedName>
    <definedName name="_sa1" localSheetId="11">#REF!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9">'[1]REV NONMAJOR'!#REF!</definedName>
    <definedName name="admin" localSheetId="10">'[1]REV NONMAJOR'!#REF!</definedName>
    <definedName name="admin" localSheetId="8">'[1]REV NONMAJOR'!#REF!</definedName>
    <definedName name="admin" localSheetId="11">'[1]REV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9">#REF!</definedName>
    <definedName name="bal" localSheetId="10">#REF!</definedName>
    <definedName name="bal" localSheetId="8">#REF!</definedName>
    <definedName name="bal" localSheetId="11">#REF!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9">'[1]201'!#REF!</definedName>
    <definedName name="basic" localSheetId="10">'[1]201'!#REF!</definedName>
    <definedName name="basic" localSheetId="8">'[1]201'!#REF!</definedName>
    <definedName name="basic" localSheetId="11">'[1]201'!#REF!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9">'[1]201'!#REF!</definedName>
    <definedName name="bbasic" localSheetId="10">'[1]201'!#REF!</definedName>
    <definedName name="bbasic" localSheetId="8">'[1]201'!#REF!</definedName>
    <definedName name="bbasic" localSheetId="11">'[1]201'!#REF!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9">#REF!</definedName>
    <definedName name="bbegbal" localSheetId="10">#REF!</definedName>
    <definedName name="bbegbal" localSheetId="8">#REF!</definedName>
    <definedName name="bbegbal" localSheetId="11">#REF!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9">#REF!</definedName>
    <definedName name="bcapital" localSheetId="10">#REF!</definedName>
    <definedName name="bcapital" localSheetId="8">#REF!</definedName>
    <definedName name="bcapital" localSheetId="11">#REF!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9">#REF!</definedName>
    <definedName name="bcomm" localSheetId="10">#REF!</definedName>
    <definedName name="bcomm" localSheetId="8">#REF!</definedName>
    <definedName name="bcomm" localSheetId="11">#REF!</definedName>
    <definedName name="bcomm">#REF!</definedName>
    <definedName name="BCOMMUNITY" localSheetId="13">#REF!</definedName>
    <definedName name="BCOMMUNITY" localSheetId="6">#REF!</definedName>
    <definedName name="BCOMMUNITY" localSheetId="7">#REF!</definedName>
    <definedName name="BCOMMUNITY" localSheetId="9">#REF!</definedName>
    <definedName name="BCOMMUNITY" localSheetId="10">#REF!</definedName>
    <definedName name="BCOMMUNITY" localSheetId="8">#REF!</definedName>
    <definedName name="BCOMMUNITY" localSheetId="11">#REF!</definedName>
    <definedName name="BCOMMUNITY">#REF!</definedName>
    <definedName name="bcont" localSheetId="13">#REF!</definedName>
    <definedName name="bcont" localSheetId="6">#REF!</definedName>
    <definedName name="bcont" localSheetId="7">#REF!</definedName>
    <definedName name="bcont" localSheetId="9">#REF!</definedName>
    <definedName name="bcont" localSheetId="10">#REF!</definedName>
    <definedName name="bcont" localSheetId="8">#REF!</definedName>
    <definedName name="bcont" localSheetId="11">#REF!</definedName>
    <definedName name="bcont">#REF!</definedName>
    <definedName name="bcontingency" localSheetId="13">#REF!</definedName>
    <definedName name="bcontingency" localSheetId="6">#REF!</definedName>
    <definedName name="bcontingency" localSheetId="7">#REF!</definedName>
    <definedName name="bcontingency" localSheetId="9">#REF!</definedName>
    <definedName name="bcontingency" localSheetId="10">#REF!</definedName>
    <definedName name="bcontingency" localSheetId="8">#REF!</definedName>
    <definedName name="bcontingency" localSheetId="11">#REF!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9">[1]GFREV!#REF!</definedName>
    <definedName name="BCONTRIBUTIONS" localSheetId="10">[1]GFREV!#REF!</definedName>
    <definedName name="BCONTRIBUTIONS" localSheetId="8">[1]GFREV!#REF!</definedName>
    <definedName name="BCONTRIBUTIONS" localSheetId="11">[1]GFREV!#REF!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9">#REF!</definedName>
    <definedName name="bdebt" localSheetId="10">#REF!</definedName>
    <definedName name="bdebt" localSheetId="8">#REF!</definedName>
    <definedName name="bdebt" localSheetId="11">#REF!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9">#REF!</definedName>
    <definedName name="BDEBTSERVICE" localSheetId="10">#REF!</definedName>
    <definedName name="BDEBTSERVICE" localSheetId="8">#REF!</definedName>
    <definedName name="BDEBTSERVICE" localSheetId="11">#REF!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9">#REF!</definedName>
    <definedName name="bds" localSheetId="10">#REF!</definedName>
    <definedName name="bds" localSheetId="8">#REF!</definedName>
    <definedName name="bds" localSheetId="11">#REF!</definedName>
    <definedName name="bds">#REF!</definedName>
    <definedName name="bearn" localSheetId="13">#REF!</definedName>
    <definedName name="bearn" localSheetId="6">#REF!</definedName>
    <definedName name="bearn" localSheetId="7">#REF!</definedName>
    <definedName name="bearn" localSheetId="9">#REF!</definedName>
    <definedName name="bearn" localSheetId="10">#REF!</definedName>
    <definedName name="bearn" localSheetId="8">#REF!</definedName>
    <definedName name="bearn" localSheetId="11">#REF!</definedName>
    <definedName name="bearn">#REF!</definedName>
    <definedName name="bearnings" localSheetId="13">#REF!</definedName>
    <definedName name="bearnings" localSheetId="6">#REF!</definedName>
    <definedName name="bearnings" localSheetId="7">#REF!</definedName>
    <definedName name="bearnings" localSheetId="9">#REF!</definedName>
    <definedName name="bearnings" localSheetId="10">#REF!</definedName>
    <definedName name="bearnings" localSheetId="8">#REF!</definedName>
    <definedName name="bearnings" localSheetId="11">#REF!</definedName>
    <definedName name="bearnings">#REF!</definedName>
    <definedName name="begbal" localSheetId="13">#REF!</definedName>
    <definedName name="begbal" localSheetId="6">#REF!</definedName>
    <definedName name="begbal" localSheetId="7">#REF!</definedName>
    <definedName name="begbal" localSheetId="9">#REF!</definedName>
    <definedName name="begbal" localSheetId="10">#REF!</definedName>
    <definedName name="begbal" localSheetId="8">#REF!</definedName>
    <definedName name="begbal" localSheetId="11">#REF!</definedName>
    <definedName name="begbal">#REF!</definedName>
    <definedName name="BEGEQUITY" localSheetId="13">#REF!</definedName>
    <definedName name="BEGEQUITY" localSheetId="6">#REF!</definedName>
    <definedName name="BEGEQUITY" localSheetId="7">#REF!</definedName>
    <definedName name="BEGEQUITY" localSheetId="9">#REF!</definedName>
    <definedName name="BEGEQUITY" localSheetId="10">#REF!</definedName>
    <definedName name="BEGEQUITY" localSheetId="8">#REF!</definedName>
    <definedName name="BEGEQUITY" localSheetId="11">#REF!</definedName>
    <definedName name="BEGEQUITY">#REF!</definedName>
    <definedName name="bendbal" localSheetId="13">#REF!</definedName>
    <definedName name="bendbal" localSheetId="6">#REF!</definedName>
    <definedName name="bendbal" localSheetId="7">#REF!</definedName>
    <definedName name="bendbal" localSheetId="9">#REF!</definedName>
    <definedName name="bendbal" localSheetId="10">#REF!</definedName>
    <definedName name="bendbal" localSheetId="8">#REF!</definedName>
    <definedName name="bendbal" localSheetId="11">#REF!</definedName>
    <definedName name="bendbal">#REF!</definedName>
    <definedName name="bexcess" localSheetId="13">#REF!</definedName>
    <definedName name="bexcess" localSheetId="6">#REF!</definedName>
    <definedName name="bexcess" localSheetId="7">#REF!</definedName>
    <definedName name="bexcess" localSheetId="9">#REF!</definedName>
    <definedName name="bexcess" localSheetId="10">#REF!</definedName>
    <definedName name="bexcess" localSheetId="8">#REF!</definedName>
    <definedName name="bexcess" localSheetId="11">#REF!</definedName>
    <definedName name="bexcess">#REF!</definedName>
    <definedName name="bfed" localSheetId="13">#REF!</definedName>
    <definedName name="bfed" localSheetId="6">#REF!</definedName>
    <definedName name="bfed" localSheetId="7">#REF!</definedName>
    <definedName name="bfed" localSheetId="9">#REF!</definedName>
    <definedName name="bfed" localSheetId="10">#REF!</definedName>
    <definedName name="bfed" localSheetId="8">#REF!</definedName>
    <definedName name="bfed" localSheetId="11">#REF!</definedName>
    <definedName name="bfed">#REF!</definedName>
    <definedName name="bfederal" localSheetId="13">#REF!</definedName>
    <definedName name="bfederal" localSheetId="6">#REF!</definedName>
    <definedName name="bfederal" localSheetId="7">#REF!</definedName>
    <definedName name="bfederal" localSheetId="9">#REF!</definedName>
    <definedName name="bfederal" localSheetId="10">#REF!</definedName>
    <definedName name="bfederal" localSheetId="8">#REF!</definedName>
    <definedName name="bfederal" localSheetId="11">#REF!</definedName>
    <definedName name="bfederal">#REF!</definedName>
    <definedName name="bfedrev" localSheetId="13">#REF!</definedName>
    <definedName name="bfedrev" localSheetId="6">#REF!</definedName>
    <definedName name="bfedrev" localSheetId="7">#REF!</definedName>
    <definedName name="bfedrev" localSheetId="9">#REF!</definedName>
    <definedName name="bfedrev" localSheetId="10">#REF!</definedName>
    <definedName name="bfedrev" localSheetId="8">#REF!</definedName>
    <definedName name="bfedrev" localSheetId="11">#REF!</definedName>
    <definedName name="bfedrev">#REF!</definedName>
    <definedName name="binstr" localSheetId="13">#REF!</definedName>
    <definedName name="binstr" localSheetId="6">#REF!</definedName>
    <definedName name="binstr" localSheetId="7">#REF!</definedName>
    <definedName name="binstr" localSheetId="9">#REF!</definedName>
    <definedName name="binstr" localSheetId="10">#REF!</definedName>
    <definedName name="binstr" localSheetId="8">#REF!</definedName>
    <definedName name="binstr" localSheetId="11">#REF!</definedName>
    <definedName name="binstr">#REF!</definedName>
    <definedName name="binstruction" localSheetId="13">#REF!</definedName>
    <definedName name="binstruction" localSheetId="6">#REF!</definedName>
    <definedName name="binstruction" localSheetId="7">#REF!</definedName>
    <definedName name="binstruction" localSheetId="9">#REF!</definedName>
    <definedName name="binstruction" localSheetId="10">#REF!</definedName>
    <definedName name="binstruction" localSheetId="8">#REF!</definedName>
    <definedName name="binstruction" localSheetId="11">#REF!</definedName>
    <definedName name="binstruction">#REF!</definedName>
    <definedName name="binterest" localSheetId="13">#REF!</definedName>
    <definedName name="binterest" localSheetId="6">#REF!</definedName>
    <definedName name="binterest" localSheetId="7">#REF!</definedName>
    <definedName name="binterest" localSheetId="9">#REF!</definedName>
    <definedName name="binterest" localSheetId="10">#REF!</definedName>
    <definedName name="binterest" localSheetId="8">#REF!</definedName>
    <definedName name="binterest" localSheetId="11">#REF!</definedName>
    <definedName name="binterest">#REF!</definedName>
    <definedName name="bintermed" localSheetId="13">#REF!</definedName>
    <definedName name="bintermed" localSheetId="6">#REF!</definedName>
    <definedName name="bintermed" localSheetId="7">#REF!</definedName>
    <definedName name="bintermed" localSheetId="9">#REF!</definedName>
    <definedName name="bintermed" localSheetId="10">#REF!</definedName>
    <definedName name="bintermed" localSheetId="8">#REF!</definedName>
    <definedName name="bintermed" localSheetId="11">#REF!</definedName>
    <definedName name="bintermed">#REF!</definedName>
    <definedName name="BLAND" localSheetId="13">[1]GFREV!#REF!</definedName>
    <definedName name="BLAND" localSheetId="6">[1]GFREV!#REF!</definedName>
    <definedName name="BLAND" localSheetId="7">[1]GFREV!#REF!</definedName>
    <definedName name="BLAND" localSheetId="9">[1]GFREV!#REF!</definedName>
    <definedName name="BLAND" localSheetId="10">[1]GFREV!#REF!</definedName>
    <definedName name="BLAND" localSheetId="8">[1]GFREV!#REF!</definedName>
    <definedName name="BLAND" localSheetId="11">[1]GFREV!#REF!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9">#REF!</definedName>
    <definedName name="bleasepurch" localSheetId="10">#REF!</definedName>
    <definedName name="bleasepurch" localSheetId="8">#REF!</definedName>
    <definedName name="bleasepurch" localSheetId="11">#REF!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9">#REF!</definedName>
    <definedName name="bmisc" localSheetId="10">#REF!</definedName>
    <definedName name="bmisc" localSheetId="8">#REF!</definedName>
    <definedName name="bmisc" localSheetId="11">#REF!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9">'[1]201'!#REF!</definedName>
    <definedName name="bnslp" localSheetId="10">'[1]201'!#REF!</definedName>
    <definedName name="bnslp" localSheetId="8">'[1]201'!#REF!</definedName>
    <definedName name="bnslp" localSheetId="11">'[1]201'!#REF!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9">#REF!</definedName>
    <definedName name="bother" localSheetId="10">#REF!</definedName>
    <definedName name="bother" localSheetId="8">#REF!</definedName>
    <definedName name="bother" localSheetId="11">#REF!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9">#REF!</definedName>
    <definedName name="brevenue" localSheetId="10">#REF!</definedName>
    <definedName name="brevenue" localSheetId="8">#REF!</definedName>
    <definedName name="brevenue" localSheetId="11">#REF!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9">#REF!</definedName>
    <definedName name="bsale" localSheetId="10">#REF!</definedName>
    <definedName name="bsale" localSheetId="8">#REF!</definedName>
    <definedName name="bsale" localSheetId="11">#REF!</definedName>
    <definedName name="bsale">#REF!</definedName>
    <definedName name="bstate" localSheetId="13">#REF!</definedName>
    <definedName name="bstate" localSheetId="6">#REF!</definedName>
    <definedName name="bstate" localSheetId="7">#REF!</definedName>
    <definedName name="bstate" localSheetId="9">#REF!</definedName>
    <definedName name="bstate" localSheetId="10">#REF!</definedName>
    <definedName name="bstate" localSheetId="8">#REF!</definedName>
    <definedName name="bstate" localSheetId="11">#REF!</definedName>
    <definedName name="bstate">#REF!</definedName>
    <definedName name="bsup" localSheetId="13">#REF!</definedName>
    <definedName name="bsup" localSheetId="6">#REF!</definedName>
    <definedName name="bsup" localSheetId="7">#REF!</definedName>
    <definedName name="bsup" localSheetId="9">#REF!</definedName>
    <definedName name="bsup" localSheetId="10">#REF!</definedName>
    <definedName name="bsup" localSheetId="8">#REF!</definedName>
    <definedName name="bsup" localSheetId="11">#REF!</definedName>
    <definedName name="bsup">#REF!</definedName>
    <definedName name="bsupp" localSheetId="13">#REF!</definedName>
    <definedName name="bsupp" localSheetId="6">#REF!</definedName>
    <definedName name="bsupp" localSheetId="7">#REF!</definedName>
    <definedName name="bsupp" localSheetId="9">#REF!</definedName>
    <definedName name="bsupp" localSheetId="10">#REF!</definedName>
    <definedName name="bsupp" localSheetId="8">#REF!</definedName>
    <definedName name="bsupp" localSheetId="11">#REF!</definedName>
    <definedName name="bsupp">#REF!</definedName>
    <definedName name="BSUPPCAP" localSheetId="13">#REF!</definedName>
    <definedName name="BSUPPCAP" localSheetId="6">#REF!</definedName>
    <definedName name="BSUPPCAP" localSheetId="7">#REF!</definedName>
    <definedName name="BSUPPCAP" localSheetId="9">#REF!</definedName>
    <definedName name="BSUPPCAP" localSheetId="10">#REF!</definedName>
    <definedName name="BSUPPCAP" localSheetId="8">#REF!</definedName>
    <definedName name="BSUPPCAP" localSheetId="11">#REF!</definedName>
    <definedName name="BSUPPCAP">#REF!</definedName>
    <definedName name="bsupport" localSheetId="13">#REF!</definedName>
    <definedName name="bsupport" localSheetId="6">#REF!</definedName>
    <definedName name="bsupport" localSheetId="7">#REF!</definedName>
    <definedName name="bsupport" localSheetId="9">#REF!</definedName>
    <definedName name="bsupport" localSheetId="10">#REF!</definedName>
    <definedName name="bsupport" localSheetId="8">#REF!</definedName>
    <definedName name="bsupport" localSheetId="11">#REF!</definedName>
    <definedName name="bsupport">#REF!</definedName>
    <definedName name="btaxes" localSheetId="13">#REF!</definedName>
    <definedName name="btaxes" localSheetId="6">#REF!</definedName>
    <definedName name="btaxes" localSheetId="7">#REF!</definedName>
    <definedName name="btaxes" localSheetId="9">#REF!</definedName>
    <definedName name="btaxes" localSheetId="10">#REF!</definedName>
    <definedName name="btaxes" localSheetId="8">#REF!</definedName>
    <definedName name="btaxes" localSheetId="11">#REF!</definedName>
    <definedName name="btaxes">#REF!</definedName>
    <definedName name="btrans" localSheetId="13">#REF!</definedName>
    <definedName name="btrans" localSheetId="6">#REF!</definedName>
    <definedName name="btrans" localSheetId="7">#REF!</definedName>
    <definedName name="btrans" localSheetId="9">#REF!</definedName>
    <definedName name="btrans" localSheetId="10">#REF!</definedName>
    <definedName name="btrans" localSheetId="8">#REF!</definedName>
    <definedName name="btrans" localSheetId="11">#REF!</definedName>
    <definedName name="btrans">#REF!</definedName>
    <definedName name="btransin" localSheetId="13">'[1]201'!#REF!</definedName>
    <definedName name="btransin" localSheetId="6">'[1]201'!#REF!</definedName>
    <definedName name="btransin" localSheetId="7">'[1]201'!#REF!</definedName>
    <definedName name="btransin" localSheetId="9">'[1]201'!#REF!</definedName>
    <definedName name="btransin" localSheetId="10">'[1]201'!#REF!</definedName>
    <definedName name="btransin" localSheetId="8">'[1]201'!#REF!</definedName>
    <definedName name="btransin" localSheetId="11">'[1]201'!#REF!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9">#REF!</definedName>
    <definedName name="btransout" localSheetId="10">#REF!</definedName>
    <definedName name="btransout" localSheetId="8">#REF!</definedName>
    <definedName name="btransout" localSheetId="11">#REF!</definedName>
    <definedName name="btransout">#REF!</definedName>
    <definedName name="BTUITION" localSheetId="13">[1]GFREV!#REF!</definedName>
    <definedName name="BTUITION" localSheetId="6">[1]GFREV!#REF!</definedName>
    <definedName name="BTUITION" localSheetId="7">[1]GFREV!#REF!</definedName>
    <definedName name="BTUITION" localSheetId="9">[1]GFREV!#REF!</definedName>
    <definedName name="BTUITION" localSheetId="10">[1]GFREV!#REF!</definedName>
    <definedName name="BTUITION" localSheetId="8">[1]GFREV!#REF!</definedName>
    <definedName name="BTUITION" localSheetId="11">[1]GFREV!#REF!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9">#REF!</definedName>
    <definedName name="BUDBEG" localSheetId="10">#REF!</definedName>
    <definedName name="BUDBEG" localSheetId="8">#REF!</definedName>
    <definedName name="BUDBEG" localSheetId="11">#REF!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9">#REF!</definedName>
    <definedName name="capital" localSheetId="10">#REF!</definedName>
    <definedName name="capital" localSheetId="8">#REF!</definedName>
    <definedName name="capital" localSheetId="11">#REF!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9">#REF!</definedName>
    <definedName name="caplease" localSheetId="10">#REF!</definedName>
    <definedName name="caplease" localSheetId="8">#REF!</definedName>
    <definedName name="caplease" localSheetId="11">#REF!</definedName>
    <definedName name="caplease">#REF!</definedName>
    <definedName name="capoutlay" localSheetId="13">#REF!</definedName>
    <definedName name="capoutlay" localSheetId="6">#REF!</definedName>
    <definedName name="capoutlay" localSheetId="7">#REF!</definedName>
    <definedName name="capoutlay" localSheetId="9">#REF!</definedName>
    <definedName name="capoutlay" localSheetId="10">#REF!</definedName>
    <definedName name="capoutlay" localSheetId="8">#REF!</definedName>
    <definedName name="capoutlay" localSheetId="11">#REF!</definedName>
    <definedName name="capoutlay">#REF!</definedName>
    <definedName name="CHANGE" localSheetId="13">#REF!</definedName>
    <definedName name="CHANGE" localSheetId="6">#REF!</definedName>
    <definedName name="CHANGE" localSheetId="7">#REF!</definedName>
    <definedName name="CHANGE" localSheetId="9">#REF!</definedName>
    <definedName name="CHANGE" localSheetId="10">#REF!</definedName>
    <definedName name="CHANGE" localSheetId="8">#REF!</definedName>
    <definedName name="CHANGE" localSheetId="11">#REF!</definedName>
    <definedName name="CHANGE">#REF!</definedName>
    <definedName name="CLS" localSheetId="13">#REF!</definedName>
    <definedName name="CLS" localSheetId="6">#REF!</definedName>
    <definedName name="CLS" localSheetId="7">#REF!</definedName>
    <definedName name="CLS" localSheetId="9">#REF!</definedName>
    <definedName name="CLS" localSheetId="10">#REF!</definedName>
    <definedName name="CLS" localSheetId="8">#REF!</definedName>
    <definedName name="CLS" localSheetId="11">#REF!</definedName>
    <definedName name="CLS">#REF!</definedName>
    <definedName name="comm" localSheetId="13">#REF!</definedName>
    <definedName name="comm" localSheetId="6">#REF!</definedName>
    <definedName name="comm" localSheetId="7">#REF!</definedName>
    <definedName name="comm" localSheetId="9">#REF!</definedName>
    <definedName name="comm" localSheetId="10">#REF!</definedName>
    <definedName name="comm" localSheetId="8">#REF!</definedName>
    <definedName name="comm" localSheetId="11">#REF!</definedName>
    <definedName name="comm">#REF!</definedName>
    <definedName name="COMMUNITY" localSheetId="13">#REF!</definedName>
    <definedName name="COMMUNITY" localSheetId="6">#REF!</definedName>
    <definedName name="COMMUNITY" localSheetId="7">#REF!</definedName>
    <definedName name="COMMUNITY" localSheetId="9">#REF!</definedName>
    <definedName name="COMMUNITY" localSheetId="10">#REF!</definedName>
    <definedName name="COMMUNITY" localSheetId="8">#REF!</definedName>
    <definedName name="COMMUNITY" localSheetId="11">#REF!</definedName>
    <definedName name="COMMUNITY">#REF!</definedName>
    <definedName name="cont" localSheetId="13">#REF!</definedName>
    <definedName name="cont" localSheetId="6">#REF!</definedName>
    <definedName name="cont" localSheetId="7">#REF!</definedName>
    <definedName name="cont" localSheetId="9">#REF!</definedName>
    <definedName name="cont" localSheetId="10">#REF!</definedName>
    <definedName name="cont" localSheetId="8">#REF!</definedName>
    <definedName name="cont" localSheetId="11">#REF!</definedName>
    <definedName name="cont">#REF!</definedName>
    <definedName name="contingency" localSheetId="13">#REF!</definedName>
    <definedName name="contingency" localSheetId="6">#REF!</definedName>
    <definedName name="contingency" localSheetId="7">#REF!</definedName>
    <definedName name="contingency" localSheetId="9">#REF!</definedName>
    <definedName name="contingency" localSheetId="10">#REF!</definedName>
    <definedName name="contingency" localSheetId="8">#REF!</definedName>
    <definedName name="contingency" localSheetId="11">#REF!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9">[1]GFREV!#REF!</definedName>
    <definedName name="CONTRIBUTIONS" localSheetId="10">[1]GFREV!#REF!</definedName>
    <definedName name="CONTRIBUTIONS" localSheetId="8">[1]GFREV!#REF!</definedName>
    <definedName name="CONTRIBUTIONS" localSheetId="11">[1]GFREV!#REF!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9">#REF!</definedName>
    <definedName name="debt" localSheetId="10">#REF!</definedName>
    <definedName name="debt" localSheetId="8">#REF!</definedName>
    <definedName name="debt" localSheetId="11">#REF!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9">#REF!</definedName>
    <definedName name="DEBTSERVICE" localSheetId="10">#REF!</definedName>
    <definedName name="DEBTSERVICE" localSheetId="8">#REF!</definedName>
    <definedName name="DEBTSERVICE" localSheetId="11">#REF!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9">#REF!</definedName>
    <definedName name="deferredcomp" localSheetId="10">#REF!</definedName>
    <definedName name="deferredcomp" localSheetId="8">#REF!</definedName>
    <definedName name="deferredcomp" localSheetId="11">#REF!</definedName>
    <definedName name="deferredcomp">#REF!</definedName>
    <definedName name="ds" localSheetId="13">#REF!</definedName>
    <definedName name="ds" localSheetId="6">#REF!</definedName>
    <definedName name="ds" localSheetId="7">#REF!</definedName>
    <definedName name="ds" localSheetId="9">#REF!</definedName>
    <definedName name="ds" localSheetId="10">#REF!</definedName>
    <definedName name="ds" localSheetId="8">#REF!</definedName>
    <definedName name="ds" localSheetId="11">#REF!</definedName>
    <definedName name="ds">#REF!</definedName>
    <definedName name="dueto" localSheetId="13">'[1]BS-NONMAJOR'!#REF!</definedName>
    <definedName name="dueto" localSheetId="6">'[1]BS-NONMAJOR'!#REF!</definedName>
    <definedName name="dueto" localSheetId="7">'[1]BS-NONMAJOR'!#REF!</definedName>
    <definedName name="dueto" localSheetId="9">'[1]BS-NONMAJOR'!#REF!</definedName>
    <definedName name="dueto" localSheetId="10">'[1]BS-NONMAJOR'!#REF!</definedName>
    <definedName name="dueto" localSheetId="8">'[1]BS-NONMAJOR'!#REF!</definedName>
    <definedName name="dueto" localSheetId="11">'[1]BS-NONMAJOR'!#REF!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9">#REF!</definedName>
    <definedName name="earn" localSheetId="10">#REF!</definedName>
    <definedName name="earn" localSheetId="8">#REF!</definedName>
    <definedName name="earn" localSheetId="11">#REF!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9">#REF!</definedName>
    <definedName name="earnings" localSheetId="10">#REF!</definedName>
    <definedName name="earnings" localSheetId="8">#REF!</definedName>
    <definedName name="earnings" localSheetId="11">#REF!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9">#REF!</definedName>
    <definedName name="endbal" localSheetId="10">#REF!</definedName>
    <definedName name="endbal" localSheetId="8">#REF!</definedName>
    <definedName name="endbal" localSheetId="11">#REF!</definedName>
    <definedName name="endbal">#REF!</definedName>
    <definedName name="ENDBALCAP" localSheetId="13">#REF!</definedName>
    <definedName name="ENDBALCAP" localSheetId="6">#REF!</definedName>
    <definedName name="ENDBALCAP" localSheetId="7">#REF!</definedName>
    <definedName name="ENDBALCAP" localSheetId="9">#REF!</definedName>
    <definedName name="ENDBALCAP" localSheetId="10">#REF!</definedName>
    <definedName name="ENDBALCAP" localSheetId="8">#REF!</definedName>
    <definedName name="ENDBALCAP" localSheetId="11">#REF!</definedName>
    <definedName name="ENDBALCAP">#REF!</definedName>
    <definedName name="excess" localSheetId="13">#REF!</definedName>
    <definedName name="excess" localSheetId="6">#REF!</definedName>
    <definedName name="excess" localSheetId="7">#REF!</definedName>
    <definedName name="excess" localSheetId="9">#REF!</definedName>
    <definedName name="excess" localSheetId="10">#REF!</definedName>
    <definedName name="excess" localSheetId="8">#REF!</definedName>
    <definedName name="excess" localSheetId="11">#REF!</definedName>
    <definedName name="excess">#REF!</definedName>
    <definedName name="fed" localSheetId="13">#REF!</definedName>
    <definedName name="fed" localSheetId="6">#REF!</definedName>
    <definedName name="fed" localSheetId="7">#REF!</definedName>
    <definedName name="fed" localSheetId="9">#REF!</definedName>
    <definedName name="fed" localSheetId="10">#REF!</definedName>
    <definedName name="fed" localSheetId="8">#REF!</definedName>
    <definedName name="fed" localSheetId="11">#REF!</definedName>
    <definedName name="fed">#REF!</definedName>
    <definedName name="federal" localSheetId="13">#REF!</definedName>
    <definedName name="federal" localSheetId="6">#REF!</definedName>
    <definedName name="federal" localSheetId="7">#REF!</definedName>
    <definedName name="federal" localSheetId="9">#REF!</definedName>
    <definedName name="federal" localSheetId="10">#REF!</definedName>
    <definedName name="federal" localSheetId="8">#REF!</definedName>
    <definedName name="federal" localSheetId="11">#REF!</definedName>
    <definedName name="federal">#REF!</definedName>
    <definedName name="fedrev" localSheetId="13">#REF!</definedName>
    <definedName name="fedrev" localSheetId="6">#REF!</definedName>
    <definedName name="fedrev" localSheetId="7">#REF!</definedName>
    <definedName name="fedrev" localSheetId="9">#REF!</definedName>
    <definedName name="fedrev" localSheetId="10">#REF!</definedName>
    <definedName name="fedrev" localSheetId="8">#REF!</definedName>
    <definedName name="fedrev" localSheetId="11">#REF!</definedName>
    <definedName name="fedrev">#REF!</definedName>
    <definedName name="gaapinst" localSheetId="13">#REF!</definedName>
    <definedName name="gaapinst" localSheetId="6">#REF!</definedName>
    <definedName name="gaapinst" localSheetId="7">#REF!</definedName>
    <definedName name="gaapinst" localSheetId="9">#REF!</definedName>
    <definedName name="gaapinst" localSheetId="10">#REF!</definedName>
    <definedName name="gaapinst" localSheetId="8">#REF!</definedName>
    <definedName name="gaapinst" localSheetId="11">#REF!</definedName>
    <definedName name="gaapinst">#REF!</definedName>
    <definedName name="GAAPINSTR" localSheetId="13">#REF!</definedName>
    <definedName name="GAAPINSTR" localSheetId="6">#REF!</definedName>
    <definedName name="GAAPINSTR" localSheetId="7">#REF!</definedName>
    <definedName name="GAAPINSTR" localSheetId="9">#REF!</definedName>
    <definedName name="GAAPINSTR" localSheetId="10">#REF!</definedName>
    <definedName name="GAAPINSTR" localSheetId="8">#REF!</definedName>
    <definedName name="GAAPINSTR" localSheetId="11">#REF!</definedName>
    <definedName name="GAAPINSTR">#REF!</definedName>
    <definedName name="GAAPSUPP" localSheetId="13">#REF!</definedName>
    <definedName name="GAAPSUPP" localSheetId="6">#REF!</definedName>
    <definedName name="GAAPSUPP" localSheetId="7">#REF!</definedName>
    <definedName name="GAAPSUPP" localSheetId="9">#REF!</definedName>
    <definedName name="GAAPSUPP" localSheetId="10">#REF!</definedName>
    <definedName name="GAAPSUPP" localSheetId="8">#REF!</definedName>
    <definedName name="GAAPSUPP" localSheetId="11">#REF!</definedName>
    <definedName name="GAAPSUPP">#REF!</definedName>
    <definedName name="gaapsupport" localSheetId="13">#REF!</definedName>
    <definedName name="gaapsupport" localSheetId="6">#REF!</definedName>
    <definedName name="gaapsupport" localSheetId="7">#REF!</definedName>
    <definedName name="gaapsupport" localSheetId="9">#REF!</definedName>
    <definedName name="gaapsupport" localSheetId="10">#REF!</definedName>
    <definedName name="gaapsupport" localSheetId="8">#REF!</definedName>
    <definedName name="gaapsupport" localSheetId="11">#REF!</definedName>
    <definedName name="gaapsupport">#REF!</definedName>
    <definedName name="GRANTS" localSheetId="13">'[1]BS-NONMAJOR'!#REF!</definedName>
    <definedName name="GRANTS" localSheetId="6">'[1]BS-NONMAJOR'!#REF!</definedName>
    <definedName name="GRANTS" localSheetId="7">'[1]BS-NONMAJOR'!#REF!</definedName>
    <definedName name="GRANTS" localSheetId="9">'[1]BS-NONMAJOR'!#REF!</definedName>
    <definedName name="GRANTS" localSheetId="10">'[1]BS-NONMAJOR'!#REF!</definedName>
    <definedName name="GRANTS" localSheetId="8">'[1]BS-NONMAJOR'!#REF!</definedName>
    <definedName name="GRANTS" localSheetId="11">'[1]BS-NONMAJOR'!#REF!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9">'[1]REV NONMAJOR'!#REF!</definedName>
    <definedName name="hhh" localSheetId="10">'[1]REV NONMAJOR'!#REF!</definedName>
    <definedName name="hhh" localSheetId="8">'[1]REV NONMAJOR'!#REF!</definedName>
    <definedName name="hhh" localSheetId="11">'[1]REV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9">#REF!</definedName>
    <definedName name="instr" localSheetId="10">#REF!</definedName>
    <definedName name="instr" localSheetId="8">#REF!</definedName>
    <definedName name="instr" localSheetId="11">#REF!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9">#REF!</definedName>
    <definedName name="instrcapital" localSheetId="10">#REF!</definedName>
    <definedName name="instrcapital" localSheetId="8">#REF!</definedName>
    <definedName name="instrcapital" localSheetId="11">#REF!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9">#REF!</definedName>
    <definedName name="instruction" localSheetId="10">#REF!</definedName>
    <definedName name="instruction" localSheetId="8">#REF!</definedName>
    <definedName name="instruction" localSheetId="11">#REF!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9">'[1]REV NONMAJOR'!#REF!</definedName>
    <definedName name="int" localSheetId="10">'[1]REV NONMAJOR'!#REF!</definedName>
    <definedName name="int" localSheetId="8">'[1]REV NONMAJOR'!#REF!</definedName>
    <definedName name="int" localSheetId="11">'[1]REV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9">#REF!</definedName>
    <definedName name="interest" localSheetId="10">#REF!</definedName>
    <definedName name="interest" localSheetId="8">#REF!</definedName>
    <definedName name="interest" localSheetId="11">#REF!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9">#REF!</definedName>
    <definedName name="intermed" localSheetId="10">#REF!</definedName>
    <definedName name="intermed" localSheetId="8">#REF!</definedName>
    <definedName name="intermed" localSheetId="11">#REF!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9">'[1]BS-NONMAJOR'!#REF!</definedName>
    <definedName name="inventory" localSheetId="10">'[1]BS-NONMAJOR'!#REF!</definedName>
    <definedName name="inventory" localSheetId="8">'[1]BS-NONMAJOR'!#REF!</definedName>
    <definedName name="inventory" localSheetId="11">'[1]BS-NONMAJOR'!#REF!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9">'[1]BS-NONMAJOR'!#REF!</definedName>
    <definedName name="invreserve" localSheetId="10">'[1]BS-NONMAJOR'!#REF!</definedName>
    <definedName name="invreserve" localSheetId="8">'[1]BS-NONMAJOR'!#REF!</definedName>
    <definedName name="invreserve" localSheetId="11">'[1]BS-NONMAJOR'!#REF!</definedName>
    <definedName name="invreserve">'[1]BS-NONMAJOR'!#REF!</definedName>
    <definedName name="LAND" localSheetId="13">[1]GFREV!#REF!</definedName>
    <definedName name="LAND" localSheetId="6">[1]GFREV!#REF!</definedName>
    <definedName name="LAND" localSheetId="7">[1]GFREV!#REF!</definedName>
    <definedName name="LAND" localSheetId="9">[1]GFREV!#REF!</definedName>
    <definedName name="LAND" localSheetId="10">[1]GFREV!#REF!</definedName>
    <definedName name="LAND" localSheetId="8">[1]GFREV!#REF!</definedName>
    <definedName name="LAND" localSheetId="11">[1]GFREV!#REF!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9">#REF!</definedName>
    <definedName name="leasepurch" localSheetId="10">#REF!</definedName>
    <definedName name="leasepurch" localSheetId="8">#REF!</definedName>
    <definedName name="leasepurch" localSheetId="11">#REF!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9">#REF!</definedName>
    <definedName name="misc" localSheetId="10">#REF!</definedName>
    <definedName name="misc" localSheetId="8">#REF!</definedName>
    <definedName name="misc" localSheetId="11">#REF!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9">'[1]REV NONMAJOR'!#REF!</definedName>
    <definedName name="newssales" localSheetId="10">'[1]REV NONMAJOR'!#REF!</definedName>
    <definedName name="newssales" localSheetId="8">'[1]REV NONMAJOR'!#REF!</definedName>
    <definedName name="newssales" localSheetId="11">'[1]REV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9">'[1]201'!#REF!</definedName>
    <definedName name="nslp" localSheetId="10">'[1]201'!#REF!</definedName>
    <definedName name="nslp" localSheetId="8">'[1]201'!#REF!</definedName>
    <definedName name="nslp" localSheetId="11">'[1]201'!#REF!</definedName>
    <definedName name="nslp">'[1]201'!#REF!</definedName>
    <definedName name="o" localSheetId="13">#REF!</definedName>
    <definedName name="o" localSheetId="12">#REF!</definedName>
    <definedName name="o" localSheetId="6">#REF!</definedName>
    <definedName name="o" localSheetId="7">#REF!</definedName>
    <definedName name="o" localSheetId="9">#REF!</definedName>
    <definedName name="o" localSheetId="10">#REF!</definedName>
    <definedName name="o" localSheetId="8">#REF!</definedName>
    <definedName name="o" localSheetId="11">#REF!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9">#REF!</definedName>
    <definedName name="other" localSheetId="10">#REF!</definedName>
    <definedName name="other" localSheetId="8">#REF!</definedName>
    <definedName name="other" localSheetId="11">#REF!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9">'[1]BS-NONMAJOR'!#REF!</definedName>
    <definedName name="prepaid" localSheetId="10">'[1]BS-NONMAJOR'!#REF!</definedName>
    <definedName name="prepaid" localSheetId="8">'[1]BS-NONMAJOR'!#REF!</definedName>
    <definedName name="prepaid" localSheetId="11">'[1]BS-NONMAJOR'!#REF!</definedName>
    <definedName name="prepaid">'[1]BS-NONMAJOR'!#REF!</definedName>
    <definedName name="_xlnm.Print_Area" localSheetId="4">'Change in proportionate Share'!$A$1:$F$39</definedName>
    <definedName name="_xlnm.Print_Area" localSheetId="3">'From PERS'!$A$1:$B$324</definedName>
    <definedName name="_xlnm.Print_Area" localSheetId="1">'FY19 Entries'!$A$1:$H$53</definedName>
    <definedName name="_xlnm.Print_Area" localSheetId="0">'Lead Sheet'!$A$1:$J$65</definedName>
    <definedName name="_xlnm.Print_Area" localSheetId="13">'RSI Schedule of Cont'!$A$1:$K$38</definedName>
    <definedName name="_xlnm.Print_Area" localSheetId="12">'RSI Schedule of Prop Share'!$A$1:$K$36</definedName>
    <definedName name="_xlnm.Print_Area" localSheetId="2">'State Schedule'!$A$1:$D$48</definedName>
    <definedName name="_xlnm.Print_Area" localSheetId="6">'Table 2'!$A$1:$AF$25</definedName>
    <definedName name="_xlnm.Print_Area" localSheetId="9">'Table 3'!$A$1:$D$23</definedName>
    <definedName name="_xlnm.Print_Area" localSheetId="10">'Table 4'!$I$1:$M$25</definedName>
    <definedName name="reserve" localSheetId="13">#REF!</definedName>
    <definedName name="reserve" localSheetId="12">#REF!</definedName>
    <definedName name="reserve" localSheetId="6">#REF!</definedName>
    <definedName name="reserve" localSheetId="7">#REF!</definedName>
    <definedName name="reserve" localSheetId="9">#REF!</definedName>
    <definedName name="reserve" localSheetId="10">#REF!</definedName>
    <definedName name="reserve" localSheetId="8">#REF!</definedName>
    <definedName name="reserve" localSheetId="11">#REF!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9">#REF!</definedName>
    <definedName name="residual" localSheetId="10">#REF!</definedName>
    <definedName name="residual" localSheetId="8">#REF!</definedName>
    <definedName name="residual" localSheetId="11">#REF!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9">#REF!</definedName>
    <definedName name="revenue" localSheetId="10">#REF!</definedName>
    <definedName name="revenue" localSheetId="8">#REF!</definedName>
    <definedName name="revenue" localSheetId="11">#REF!</definedName>
    <definedName name="revenue">#REF!</definedName>
    <definedName name="rrr" localSheetId="13">#REF!</definedName>
    <definedName name="rrr" localSheetId="6">#REF!</definedName>
    <definedName name="rrr" localSheetId="7">#REF!</definedName>
    <definedName name="rrr" localSheetId="9">#REF!</definedName>
    <definedName name="rrr" localSheetId="10">#REF!</definedName>
    <definedName name="rrr" localSheetId="8">#REF!</definedName>
    <definedName name="rrr" localSheetId="11">#REF!</definedName>
    <definedName name="rrr">#REF!</definedName>
    <definedName name="rrrr" localSheetId="13">'[1]201'!#REF!</definedName>
    <definedName name="rrrr" localSheetId="6">'[1]201'!#REF!</definedName>
    <definedName name="rrrr" localSheetId="7">'[1]201'!#REF!</definedName>
    <definedName name="rrrr" localSheetId="9">'[1]201'!#REF!</definedName>
    <definedName name="rrrr" localSheetId="10">'[1]201'!#REF!</definedName>
    <definedName name="rrrr" localSheetId="8">'[1]201'!#REF!</definedName>
    <definedName name="rrrr" localSheetId="11">'[1]201'!#REF!</definedName>
    <definedName name="rrrr">'[1]201'!#REF!</definedName>
    <definedName name="SA" localSheetId="13">#REF!</definedName>
    <definedName name="SA" localSheetId="12">#REF!</definedName>
    <definedName name="SA" localSheetId="6">#REF!</definedName>
    <definedName name="SA" localSheetId="7">#REF!</definedName>
    <definedName name="SA" localSheetId="9">#REF!</definedName>
    <definedName name="SA" localSheetId="10">#REF!</definedName>
    <definedName name="SA" localSheetId="8">#REF!</definedName>
    <definedName name="SA" localSheetId="11">#REF!</definedName>
    <definedName name="SA">#REF!</definedName>
    <definedName name="sac" localSheetId="13">[1]GFREV!#REF!</definedName>
    <definedName name="sac" localSheetId="6">[1]GFREV!#REF!</definedName>
    <definedName name="sac" localSheetId="7">[1]GFREV!#REF!</definedName>
    <definedName name="sac" localSheetId="9">[1]GFREV!#REF!</definedName>
    <definedName name="sac" localSheetId="10">[1]GFREV!#REF!</definedName>
    <definedName name="sac" localSheetId="8">[1]GFREV!#REF!</definedName>
    <definedName name="sac" localSheetId="11">[1]GFREV!#REF!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9">#REF!</definedName>
    <definedName name="sacaplease" localSheetId="10">#REF!</definedName>
    <definedName name="sacaplease" localSheetId="8">#REF!</definedName>
    <definedName name="sacaplease" localSheetId="11">#REF!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9">#REF!</definedName>
    <definedName name="sacapoutlay" localSheetId="10">#REF!</definedName>
    <definedName name="sacapoutlay" localSheetId="8">#REF!</definedName>
    <definedName name="sacapoutlay" localSheetId="11">#REF!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9">#REF!</definedName>
    <definedName name="sachange" localSheetId="10">#REF!</definedName>
    <definedName name="sachange" localSheetId="8">#REF!</definedName>
    <definedName name="sachange" localSheetId="11">#REF!</definedName>
    <definedName name="sachange">#REF!</definedName>
    <definedName name="sacls" localSheetId="13">#REF!</definedName>
    <definedName name="sacls" localSheetId="6">#REF!</definedName>
    <definedName name="sacls" localSheetId="7">#REF!</definedName>
    <definedName name="sacls" localSheetId="9">#REF!</definedName>
    <definedName name="sacls" localSheetId="10">#REF!</definedName>
    <definedName name="sacls" localSheetId="8">#REF!</definedName>
    <definedName name="sacls" localSheetId="11">#REF!</definedName>
    <definedName name="sacls">#REF!</definedName>
    <definedName name="sacomm" localSheetId="13">#REF!</definedName>
    <definedName name="sacomm" localSheetId="6">#REF!</definedName>
    <definedName name="sacomm" localSheetId="7">#REF!</definedName>
    <definedName name="sacomm" localSheetId="9">#REF!</definedName>
    <definedName name="sacomm" localSheetId="10">#REF!</definedName>
    <definedName name="sacomm" localSheetId="8">#REF!</definedName>
    <definedName name="sacomm" localSheetId="11">#REF!</definedName>
    <definedName name="sacomm">#REF!</definedName>
    <definedName name="sacommunity" localSheetId="13">#REF!</definedName>
    <definedName name="sacommunity" localSheetId="6">#REF!</definedName>
    <definedName name="sacommunity" localSheetId="7">#REF!</definedName>
    <definedName name="sacommunity" localSheetId="9">#REF!</definedName>
    <definedName name="sacommunity" localSheetId="10">#REF!</definedName>
    <definedName name="sacommunity" localSheetId="8">#REF!</definedName>
    <definedName name="sacommunity" localSheetId="11">#REF!</definedName>
    <definedName name="sacommunity">#REF!</definedName>
    <definedName name="sacontingensy" localSheetId="13">#REF!</definedName>
    <definedName name="sacontingensy" localSheetId="6">#REF!</definedName>
    <definedName name="sacontingensy" localSheetId="7">#REF!</definedName>
    <definedName name="sacontingensy" localSheetId="9">#REF!</definedName>
    <definedName name="sacontingensy" localSheetId="10">#REF!</definedName>
    <definedName name="sacontingensy" localSheetId="8">#REF!</definedName>
    <definedName name="sacontingensy" localSheetId="11">#REF!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9">[1]GFREV!#REF!</definedName>
    <definedName name="sacontributions" localSheetId="10">[1]GFREV!#REF!</definedName>
    <definedName name="sacontributions" localSheetId="8">[1]GFREV!#REF!</definedName>
    <definedName name="sacontributions" localSheetId="11">[1]GFREV!#REF!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9">#REF!</definedName>
    <definedName name="sadebtseruve" localSheetId="10">#REF!</definedName>
    <definedName name="sadebtseruve" localSheetId="8">#REF!</definedName>
    <definedName name="sadebtseruve" localSheetId="11">#REF!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9">#REF!</definedName>
    <definedName name="sadeff" localSheetId="10">#REF!</definedName>
    <definedName name="sadeff" localSheetId="8">#REF!</definedName>
    <definedName name="sadeff" localSheetId="11">#REF!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9">#REF!</definedName>
    <definedName name="sads" localSheetId="10">#REF!</definedName>
    <definedName name="sads" localSheetId="8">#REF!</definedName>
    <definedName name="sads" localSheetId="11">#REF!</definedName>
    <definedName name="sads">#REF!</definedName>
    <definedName name="sads1" localSheetId="13">#REF!</definedName>
    <definedName name="sads1" localSheetId="6">#REF!</definedName>
    <definedName name="sads1" localSheetId="7">#REF!</definedName>
    <definedName name="sads1" localSheetId="9">#REF!</definedName>
    <definedName name="sads1" localSheetId="10">#REF!</definedName>
    <definedName name="sads1" localSheetId="8">#REF!</definedName>
    <definedName name="sads1" localSheetId="11">#REF!</definedName>
    <definedName name="sads1">#REF!</definedName>
    <definedName name="sae" localSheetId="13">#REF!</definedName>
    <definedName name="sae" localSheetId="6">#REF!</definedName>
    <definedName name="sae" localSheetId="7">#REF!</definedName>
    <definedName name="sae" localSheetId="9">#REF!</definedName>
    <definedName name="sae" localSheetId="10">#REF!</definedName>
    <definedName name="sae" localSheetId="8">#REF!</definedName>
    <definedName name="sae" localSheetId="11">#REF!</definedName>
    <definedName name="sae">#REF!</definedName>
    <definedName name="saearn" localSheetId="13">#REF!</definedName>
    <definedName name="saearn" localSheetId="6">#REF!</definedName>
    <definedName name="saearn" localSheetId="7">#REF!</definedName>
    <definedName name="saearn" localSheetId="9">#REF!</definedName>
    <definedName name="saearn" localSheetId="10">#REF!</definedName>
    <definedName name="saearn" localSheetId="8">#REF!</definedName>
    <definedName name="saearn" localSheetId="11">#REF!</definedName>
    <definedName name="saearn">#REF!</definedName>
    <definedName name="saexcess" localSheetId="13">#REF!</definedName>
    <definedName name="saexcess" localSheetId="6">#REF!</definedName>
    <definedName name="saexcess" localSheetId="7">#REF!</definedName>
    <definedName name="saexcess" localSheetId="9">#REF!</definedName>
    <definedName name="saexcess" localSheetId="10">#REF!</definedName>
    <definedName name="saexcess" localSheetId="8">#REF!</definedName>
    <definedName name="saexcess" localSheetId="11">#REF!</definedName>
    <definedName name="saexcess">#REF!</definedName>
    <definedName name="saexess" localSheetId="13">#REF!</definedName>
    <definedName name="saexess" localSheetId="6">#REF!</definedName>
    <definedName name="saexess" localSheetId="7">#REF!</definedName>
    <definedName name="saexess" localSheetId="9">#REF!</definedName>
    <definedName name="saexess" localSheetId="10">#REF!</definedName>
    <definedName name="saexess" localSheetId="8">#REF!</definedName>
    <definedName name="saexess" localSheetId="11">#REF!</definedName>
    <definedName name="saexess">#REF!</definedName>
    <definedName name="safed" localSheetId="13">#REF!</definedName>
    <definedName name="safed" localSheetId="6">#REF!</definedName>
    <definedName name="safed" localSheetId="7">#REF!</definedName>
    <definedName name="safed" localSheetId="9">#REF!</definedName>
    <definedName name="safed" localSheetId="10">#REF!</definedName>
    <definedName name="safed" localSheetId="8">#REF!</definedName>
    <definedName name="safed" localSheetId="11">#REF!</definedName>
    <definedName name="safed">#REF!</definedName>
    <definedName name="safed1" localSheetId="13">#REF!</definedName>
    <definedName name="safed1" localSheetId="6">#REF!</definedName>
    <definedName name="safed1" localSheetId="7">#REF!</definedName>
    <definedName name="safed1" localSheetId="9">#REF!</definedName>
    <definedName name="safed1" localSheetId="10">#REF!</definedName>
    <definedName name="safed1" localSheetId="8">#REF!</definedName>
    <definedName name="safed1" localSheetId="11">#REF!</definedName>
    <definedName name="safed1">#REF!</definedName>
    <definedName name="safed2" localSheetId="13">#REF!</definedName>
    <definedName name="safed2" localSheetId="6">#REF!</definedName>
    <definedName name="safed2" localSheetId="7">#REF!</definedName>
    <definedName name="safed2" localSheetId="9">#REF!</definedName>
    <definedName name="safed2" localSheetId="10">#REF!</definedName>
    <definedName name="safed2" localSheetId="8">#REF!</definedName>
    <definedName name="safed2" localSheetId="11">#REF!</definedName>
    <definedName name="safed2">#REF!</definedName>
    <definedName name="safederal" localSheetId="13">#REF!</definedName>
    <definedName name="safederal" localSheetId="6">#REF!</definedName>
    <definedName name="safederal" localSheetId="7">#REF!</definedName>
    <definedName name="safederal" localSheetId="9">#REF!</definedName>
    <definedName name="safederal" localSheetId="10">#REF!</definedName>
    <definedName name="safederal" localSheetId="8">#REF!</definedName>
    <definedName name="safederal" localSheetId="11">#REF!</definedName>
    <definedName name="safederal">#REF!</definedName>
    <definedName name="sag" localSheetId="13">'[1]BS-NONMAJOR'!#REF!</definedName>
    <definedName name="sag" localSheetId="6">'[1]BS-NONMAJOR'!#REF!</definedName>
    <definedName name="sag" localSheetId="7">'[1]BS-NONMAJOR'!#REF!</definedName>
    <definedName name="sag" localSheetId="9">'[1]BS-NONMAJOR'!#REF!</definedName>
    <definedName name="sag" localSheetId="10">'[1]BS-NONMAJOR'!#REF!</definedName>
    <definedName name="sag" localSheetId="8">'[1]BS-NONMAJOR'!#REF!</definedName>
    <definedName name="sag" localSheetId="11">'[1]BS-NONMAJOR'!#REF!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9">#REF!</definedName>
    <definedName name="sags" localSheetId="10">#REF!</definedName>
    <definedName name="sags" localSheetId="8">#REF!</definedName>
    <definedName name="sags" localSheetId="11">#REF!</definedName>
    <definedName name="sags">#REF!</definedName>
    <definedName name="sainr" localSheetId="13">'[1]BS-NONMAJOR'!#REF!</definedName>
    <definedName name="sainr" localSheetId="6">'[1]BS-NONMAJOR'!#REF!</definedName>
    <definedName name="sainr" localSheetId="7">'[1]BS-NONMAJOR'!#REF!</definedName>
    <definedName name="sainr" localSheetId="9">'[1]BS-NONMAJOR'!#REF!</definedName>
    <definedName name="sainr" localSheetId="10">'[1]BS-NONMAJOR'!#REF!</definedName>
    <definedName name="sainr" localSheetId="8">'[1]BS-NONMAJOR'!#REF!</definedName>
    <definedName name="sainr" localSheetId="11">'[1]BS-NONMAJOR'!#REF!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9">#REF!</definedName>
    <definedName name="sainstruction" localSheetId="10">#REF!</definedName>
    <definedName name="sainstruction" localSheetId="8">#REF!</definedName>
    <definedName name="sainstruction" localSheetId="11">#REF!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9">'[1]REV NONMAJOR'!#REF!</definedName>
    <definedName name="saint" localSheetId="10">'[1]REV NONMAJOR'!#REF!</definedName>
    <definedName name="saint" localSheetId="8">'[1]REV NONMAJOR'!#REF!</definedName>
    <definedName name="saint" localSheetId="11">'[1]REV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9">#REF!</definedName>
    <definedName name="sainterest" localSheetId="10">#REF!</definedName>
    <definedName name="sainterest" localSheetId="8">#REF!</definedName>
    <definedName name="sainterest" localSheetId="11">#REF!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9">#REF!</definedName>
    <definedName name="saintermed" localSheetId="10">#REF!</definedName>
    <definedName name="saintermed" localSheetId="8">#REF!</definedName>
    <definedName name="saintermed" localSheetId="11">#REF!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9">#REF!</definedName>
    <definedName name="saintmed" localSheetId="10">#REF!</definedName>
    <definedName name="saintmed" localSheetId="8">#REF!</definedName>
    <definedName name="saintmed" localSheetId="11">#REF!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9">'[1]BS-NONMAJOR'!#REF!</definedName>
    <definedName name="sainv" localSheetId="10">'[1]BS-NONMAJOR'!#REF!</definedName>
    <definedName name="sainv" localSheetId="8">'[1]BS-NONMAJOR'!#REF!</definedName>
    <definedName name="sainv" localSheetId="11">'[1]BS-NONMAJOR'!#REF!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9">[1]GFREV!#REF!</definedName>
    <definedName name="saland" localSheetId="10">[1]GFREV!#REF!</definedName>
    <definedName name="saland" localSheetId="8">[1]GFREV!#REF!</definedName>
    <definedName name="saland" localSheetId="11">[1]GFREV!#REF!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9">#REF!</definedName>
    <definedName name="sale" localSheetId="10">#REF!</definedName>
    <definedName name="sale" localSheetId="8">#REF!</definedName>
    <definedName name="sale" localSheetId="11">#REF!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9">#REF!</definedName>
    <definedName name="saleasepurch" localSheetId="10">#REF!</definedName>
    <definedName name="saleasepurch" localSheetId="8">#REF!</definedName>
    <definedName name="saleasepurch" localSheetId="11">#REF!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9">#REF!</definedName>
    <definedName name="samics" localSheetId="10">#REF!</definedName>
    <definedName name="samics" localSheetId="8">#REF!</definedName>
    <definedName name="samics" localSheetId="11">#REF!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9">'[1]201'!#REF!</definedName>
    <definedName name="sanslp" localSheetId="10">'[1]201'!#REF!</definedName>
    <definedName name="sanslp" localSheetId="8">'[1]201'!#REF!</definedName>
    <definedName name="sanslp" localSheetId="11">'[1]201'!#REF!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9">#REF!</definedName>
    <definedName name="sasupport" localSheetId="10">#REF!</definedName>
    <definedName name="sasupport" localSheetId="8">#REF!</definedName>
    <definedName name="sasupport" localSheetId="11">#REF!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9">'[1]201'!#REF!</definedName>
    <definedName name="satransin" localSheetId="10">'[1]201'!#REF!</definedName>
    <definedName name="satransin" localSheetId="8">'[1]201'!#REF!</definedName>
    <definedName name="satransin" localSheetId="11">'[1]201'!#REF!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9">#REF!</definedName>
    <definedName name="satransout" localSheetId="10">#REF!</definedName>
    <definedName name="satransout" localSheetId="8">#REF!</definedName>
    <definedName name="satransout" localSheetId="11">#REF!</definedName>
    <definedName name="satransout">#REF!</definedName>
    <definedName name="satuition" localSheetId="13">[1]GFREV!#REF!</definedName>
    <definedName name="satuition" localSheetId="6">[1]GFREV!#REF!</definedName>
    <definedName name="satuition" localSheetId="7">[1]GFREV!#REF!</definedName>
    <definedName name="satuition" localSheetId="9">[1]GFREV!#REF!</definedName>
    <definedName name="satuition" localSheetId="10">[1]GFREV!#REF!</definedName>
    <definedName name="satuition" localSheetId="8">[1]GFREV!#REF!</definedName>
    <definedName name="satuition" localSheetId="11">[1]GFREV!#REF!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9">#REF!</definedName>
    <definedName name="sdb" localSheetId="10">#REF!</definedName>
    <definedName name="sdb" localSheetId="8">#REF!</definedName>
    <definedName name="sdb" localSheetId="11">#REF!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9">'[1]REV NONMAJOR'!#REF!</definedName>
    <definedName name="sevices" localSheetId="10">'[1]REV NONMAJOR'!#REF!</definedName>
    <definedName name="sevices" localSheetId="8">'[1]REV NONMAJOR'!#REF!</definedName>
    <definedName name="sevices" localSheetId="11">'[1]REV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9">'[1]BS-NONMAJOR'!#REF!</definedName>
    <definedName name="ssdueto" localSheetId="10">'[1]BS-NONMAJOR'!#REF!</definedName>
    <definedName name="ssdueto" localSheetId="8">'[1]BS-NONMAJOR'!#REF!</definedName>
    <definedName name="ssdueto" localSheetId="11">'[1]BS-NONMAJOR'!#REF!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9">#REF!</definedName>
    <definedName name="sss" localSheetId="10">#REF!</definedName>
    <definedName name="sss" localSheetId="8">#REF!</definedName>
    <definedName name="sss" localSheetId="11">#REF!</definedName>
    <definedName name="sss">#REF!</definedName>
    <definedName name="ssss" localSheetId="13">[1]GFREV!#REF!</definedName>
    <definedName name="ssss" localSheetId="6">[1]GFREV!#REF!</definedName>
    <definedName name="ssss" localSheetId="7">[1]GFREV!#REF!</definedName>
    <definedName name="ssss" localSheetId="9">[1]GFREV!#REF!</definedName>
    <definedName name="ssss" localSheetId="10">[1]GFREV!#REF!</definedName>
    <definedName name="ssss" localSheetId="8">[1]GFREV!#REF!</definedName>
    <definedName name="ssss" localSheetId="11">[1]GFREV!#REF!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9">#REF!</definedName>
    <definedName name="state" localSheetId="10">#REF!</definedName>
    <definedName name="state" localSheetId="8">#REF!</definedName>
    <definedName name="state" localSheetId="11">#REF!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9">#REF!</definedName>
    <definedName name="supp" localSheetId="10">#REF!</definedName>
    <definedName name="supp" localSheetId="8">#REF!</definedName>
    <definedName name="supp" localSheetId="11">#REF!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9">#REF!</definedName>
    <definedName name="SUPPCAP" localSheetId="10">#REF!</definedName>
    <definedName name="SUPPCAP" localSheetId="8">#REF!</definedName>
    <definedName name="SUPPCAP" localSheetId="11">#REF!</definedName>
    <definedName name="SUPPCAP">#REF!</definedName>
    <definedName name="suppcapital" localSheetId="13">#REF!</definedName>
    <definedName name="suppcapital" localSheetId="6">#REF!</definedName>
    <definedName name="suppcapital" localSheetId="7">#REF!</definedName>
    <definedName name="suppcapital" localSheetId="9">#REF!</definedName>
    <definedName name="suppcapital" localSheetId="10">#REF!</definedName>
    <definedName name="suppcapital" localSheetId="8">#REF!</definedName>
    <definedName name="suppcapital" localSheetId="11">#REF!</definedName>
    <definedName name="suppcapital">#REF!</definedName>
    <definedName name="support" localSheetId="13">#REF!</definedName>
    <definedName name="support" localSheetId="6">#REF!</definedName>
    <definedName name="support" localSheetId="7">#REF!</definedName>
    <definedName name="support" localSheetId="9">#REF!</definedName>
    <definedName name="support" localSheetId="10">#REF!</definedName>
    <definedName name="support" localSheetId="8">#REF!</definedName>
    <definedName name="support" localSheetId="11">#REF!</definedName>
    <definedName name="support">#REF!</definedName>
    <definedName name="taxes" localSheetId="13">#REF!</definedName>
    <definedName name="taxes" localSheetId="6">#REF!</definedName>
    <definedName name="taxes" localSheetId="7">#REF!</definedName>
    <definedName name="taxes" localSheetId="9">#REF!</definedName>
    <definedName name="taxes" localSheetId="10">#REF!</definedName>
    <definedName name="taxes" localSheetId="8">#REF!</definedName>
    <definedName name="taxes" localSheetId="11">#REF!</definedName>
    <definedName name="taxes">#REF!</definedName>
    <definedName name="trans" localSheetId="13">#REF!</definedName>
    <definedName name="trans" localSheetId="6">#REF!</definedName>
    <definedName name="trans" localSheetId="7">#REF!</definedName>
    <definedName name="trans" localSheetId="9">#REF!</definedName>
    <definedName name="trans" localSheetId="10">#REF!</definedName>
    <definedName name="trans" localSheetId="8">#REF!</definedName>
    <definedName name="trans" localSheetId="11">#REF!</definedName>
    <definedName name="trans">#REF!</definedName>
    <definedName name="transout" localSheetId="13">#REF!</definedName>
    <definedName name="transout" localSheetId="6">#REF!</definedName>
    <definedName name="transout" localSheetId="7">#REF!</definedName>
    <definedName name="transout" localSheetId="9">#REF!</definedName>
    <definedName name="transout" localSheetId="10">#REF!</definedName>
    <definedName name="transout" localSheetId="8">#REF!</definedName>
    <definedName name="transout" localSheetId="11">#REF!</definedName>
    <definedName name="transout">#REF!</definedName>
    <definedName name="TUITION" localSheetId="13">[1]GFREV!#REF!</definedName>
    <definedName name="TUITION" localSheetId="6">[1]GFREV!#REF!</definedName>
    <definedName name="TUITION" localSheetId="7">[1]GFREV!#REF!</definedName>
    <definedName name="TUITION" localSheetId="9">[1]GFREV!#REF!</definedName>
    <definedName name="TUITION" localSheetId="10">[1]GFREV!#REF!</definedName>
    <definedName name="TUITION" localSheetId="8">[1]GFREV!#REF!</definedName>
    <definedName name="TUITION" localSheetId="11">[1]GFREV!#REF!</definedName>
    <definedName name="TUITION">[1]GFREV!#REF!</definedName>
    <definedName name="WOST" localSheetId="13">[1]GFREV!#REF!</definedName>
    <definedName name="WOST" localSheetId="6">[1]GFREV!#REF!</definedName>
    <definedName name="WOST" localSheetId="7">[1]GFREV!#REF!</definedName>
    <definedName name="WOST" localSheetId="9">[1]GFREV!#REF!</definedName>
    <definedName name="WOST" localSheetId="10">[1]GFREV!#REF!</definedName>
    <definedName name="WOST" localSheetId="8">[1]GFREV!#REF!</definedName>
    <definedName name="WOST" localSheetId="11">[1]GFREV!#REF!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 i="6" l="1"/>
  <c r="G15" i="10" l="1"/>
  <c r="G16" i="10"/>
  <c r="I16" i="10" s="1"/>
  <c r="G17" i="10"/>
  <c r="G18" i="10"/>
  <c r="G14" i="10"/>
  <c r="E14" i="11"/>
  <c r="E15" i="11"/>
  <c r="E16" i="11"/>
  <c r="E17" i="11"/>
  <c r="G17" i="11" s="1"/>
  <c r="K17" i="11"/>
  <c r="A13" i="11"/>
  <c r="A14" i="11" s="1"/>
  <c r="A15" i="11" s="1"/>
  <c r="A16" i="11" s="1"/>
  <c r="A17" i="11" s="1"/>
  <c r="A15" i="10"/>
  <c r="A16" i="10" s="1"/>
  <c r="A17" i="10" s="1"/>
  <c r="A18" i="10" s="1"/>
  <c r="A19" i="10" s="1"/>
  <c r="M52" i="4" l="1"/>
  <c r="L20" i="6"/>
  <c r="N10" i="15"/>
  <c r="Z4" i="15"/>
  <c r="R3" i="15"/>
  <c r="S3" i="15"/>
  <c r="T3" i="15"/>
  <c r="U3" i="15"/>
  <c r="V3" i="15"/>
  <c r="W3" i="15"/>
  <c r="X3" i="15"/>
  <c r="Y3" i="15"/>
  <c r="Z3" i="15"/>
  <c r="Q3" i="15"/>
  <c r="C4" i="15"/>
  <c r="E4" i="15"/>
  <c r="F4" i="15"/>
  <c r="C3" i="15"/>
  <c r="D3" i="15"/>
  <c r="E3" i="15"/>
  <c r="F3" i="15"/>
  <c r="G3" i="15"/>
  <c r="H3" i="15"/>
  <c r="I3" i="15"/>
  <c r="J3" i="15"/>
  <c r="K3" i="15"/>
  <c r="L3" i="15"/>
  <c r="M3" i="15"/>
  <c r="B3" i="15"/>
  <c r="C23" i="14"/>
  <c r="C2" i="6" l="1"/>
  <c r="C2" i="15" s="1"/>
  <c r="F9" i="6"/>
  <c r="F6" i="15" s="1"/>
  <c r="F10" i="6"/>
  <c r="F7" i="15" s="1"/>
  <c r="F11" i="6"/>
  <c r="F8" i="15" s="1"/>
  <c r="F12" i="6"/>
  <c r="F9" i="15" s="1"/>
  <c r="F8" i="6"/>
  <c r="F5" i="15" s="1"/>
  <c r="F6" i="6"/>
  <c r="E12" i="6"/>
  <c r="E9" i="15" s="1"/>
  <c r="Q9" i="6"/>
  <c r="Q10" i="6"/>
  <c r="Q11" i="6"/>
  <c r="Q12" i="6"/>
  <c r="Q8" i="6"/>
  <c r="Q6" i="6"/>
  <c r="R9" i="6"/>
  <c r="R6" i="15" s="1"/>
  <c r="R10" i="6"/>
  <c r="R7" i="15" s="1"/>
  <c r="R11" i="6"/>
  <c r="R8" i="15" s="1"/>
  <c r="R12" i="6"/>
  <c r="R9" i="15" s="1"/>
  <c r="R8" i="6"/>
  <c r="R5" i="15" s="1"/>
  <c r="R6" i="6"/>
  <c r="T9" i="6"/>
  <c r="T6" i="15" s="1"/>
  <c r="T10" i="6"/>
  <c r="T7" i="15" s="1"/>
  <c r="T11" i="6"/>
  <c r="T8" i="15" s="1"/>
  <c r="T12" i="6"/>
  <c r="T9" i="15" s="1"/>
  <c r="T8" i="6"/>
  <c r="T5" i="15" s="1"/>
  <c r="T6" i="6"/>
  <c r="U9" i="6"/>
  <c r="U6" i="15" s="1"/>
  <c r="U10" i="6"/>
  <c r="U7" i="15" s="1"/>
  <c r="U11" i="6"/>
  <c r="U8" i="15" s="1"/>
  <c r="U12" i="6"/>
  <c r="U9" i="15" s="1"/>
  <c r="U8" i="6"/>
  <c r="U5" i="15" s="1"/>
  <c r="U6" i="6"/>
  <c r="V9" i="6"/>
  <c r="V6" i="15" s="1"/>
  <c r="V10" i="6"/>
  <c r="V7" i="15" s="1"/>
  <c r="V11" i="6"/>
  <c r="V8" i="15" s="1"/>
  <c r="V12" i="6"/>
  <c r="V9" i="15" s="1"/>
  <c r="V8" i="6"/>
  <c r="V5" i="15" s="1"/>
  <c r="V6" i="6"/>
  <c r="W9" i="6"/>
  <c r="W6" i="15" s="1"/>
  <c r="W10" i="6"/>
  <c r="W7" i="15" s="1"/>
  <c r="W11" i="6"/>
  <c r="W8" i="15" s="1"/>
  <c r="W12" i="6"/>
  <c r="W9" i="15" s="1"/>
  <c r="W8" i="6"/>
  <c r="W5" i="15" s="1"/>
  <c r="X9" i="6"/>
  <c r="X6" i="15" s="1"/>
  <c r="X10" i="6"/>
  <c r="X7" i="15" s="1"/>
  <c r="X11" i="6"/>
  <c r="X8" i="15" s="1"/>
  <c r="X12" i="6"/>
  <c r="X9" i="15" s="1"/>
  <c r="X8" i="6"/>
  <c r="X5" i="15" s="1"/>
  <c r="X11" i="15" s="1"/>
  <c r="X6" i="6"/>
  <c r="Y9" i="6"/>
  <c r="Y6" i="15" s="1"/>
  <c r="Y10" i="6"/>
  <c r="Y7" i="15" s="1"/>
  <c r="Y11" i="6"/>
  <c r="Y8" i="15" s="1"/>
  <c r="Y12" i="6"/>
  <c r="Y9" i="15" s="1"/>
  <c r="Y8" i="6"/>
  <c r="Y5" i="15" s="1"/>
  <c r="Y6" i="6"/>
  <c r="P9" i="6"/>
  <c r="P10" i="6"/>
  <c r="P11" i="6"/>
  <c r="P12" i="6"/>
  <c r="P8" i="6"/>
  <c r="P6" i="6"/>
  <c r="S4" i="6"/>
  <c r="S4" i="15" s="1"/>
  <c r="T4" i="6"/>
  <c r="T4" i="15" s="1"/>
  <c r="W4" i="6"/>
  <c r="W4" i="15" s="1"/>
  <c r="H4" i="6"/>
  <c r="H4" i="15" s="1"/>
  <c r="G4" i="6"/>
  <c r="G4" i="15" s="1"/>
  <c r="I4" i="6"/>
  <c r="I4" i="15" s="1"/>
  <c r="J4" i="6"/>
  <c r="J4" i="15" s="1"/>
  <c r="L4" i="6"/>
  <c r="L4" i="15" s="1"/>
  <c r="K4" i="6"/>
  <c r="K4" i="15" s="1"/>
  <c r="H9" i="6"/>
  <c r="H6" i="15" s="1"/>
  <c r="H10" i="6"/>
  <c r="H7" i="15" s="1"/>
  <c r="H11" i="6"/>
  <c r="H8" i="15" s="1"/>
  <c r="H12" i="6"/>
  <c r="H9" i="15" s="1"/>
  <c r="H8" i="6"/>
  <c r="H5" i="15" s="1"/>
  <c r="H6" i="6"/>
  <c r="G9" i="6"/>
  <c r="G6" i="15" s="1"/>
  <c r="G10" i="6"/>
  <c r="G7" i="15" s="1"/>
  <c r="G11" i="6"/>
  <c r="G8" i="15" s="1"/>
  <c r="G12" i="6"/>
  <c r="G9" i="15" s="1"/>
  <c r="G8" i="6"/>
  <c r="G5" i="15" s="1"/>
  <c r="G6" i="6"/>
  <c r="I6" i="6"/>
  <c r="C9" i="6"/>
  <c r="C6" i="15" s="1"/>
  <c r="C10" i="6"/>
  <c r="C7" i="15" s="1"/>
  <c r="C11" i="6"/>
  <c r="C8" i="15" s="1"/>
  <c r="C12" i="6"/>
  <c r="C9" i="15" s="1"/>
  <c r="C8" i="6"/>
  <c r="C5" i="15" s="1"/>
  <c r="C6" i="6"/>
  <c r="D9" i="6"/>
  <c r="D6" i="15" s="1"/>
  <c r="D10" i="6"/>
  <c r="D7" i="15" s="1"/>
  <c r="D11" i="6"/>
  <c r="D8" i="15" s="1"/>
  <c r="D12" i="6"/>
  <c r="D9" i="15" s="1"/>
  <c r="D8" i="6"/>
  <c r="D5" i="15" s="1"/>
  <c r="D6" i="6"/>
  <c r="S9" i="6"/>
  <c r="S6" i="15" s="1"/>
  <c r="S10" i="6"/>
  <c r="S7" i="15" s="1"/>
  <c r="S11" i="6"/>
  <c r="S8" i="15" s="1"/>
  <c r="S12" i="6"/>
  <c r="S9" i="15" s="1"/>
  <c r="S8" i="6"/>
  <c r="S5" i="15" s="1"/>
  <c r="S6" i="6"/>
  <c r="D4" i="6"/>
  <c r="B9" i="6"/>
  <c r="B6" i="15" s="1"/>
  <c r="B10" i="6"/>
  <c r="B7" i="15" s="1"/>
  <c r="B11" i="6"/>
  <c r="B8" i="15" s="1"/>
  <c r="B12" i="6"/>
  <c r="B9" i="15" s="1"/>
  <c r="B8" i="6"/>
  <c r="B5" i="15" s="1"/>
  <c r="B6" i="6"/>
  <c r="B4" i="6"/>
  <c r="B4" i="15" s="1"/>
  <c r="K2" i="6"/>
  <c r="K2" i="15" s="1"/>
  <c r="G2" i="6"/>
  <c r="G2" i="15" s="1"/>
  <c r="Q2" i="6"/>
  <c r="Q2" i="15" s="1"/>
  <c r="B2" i="6"/>
  <c r="B2" i="15" s="1"/>
  <c r="X2" i="6"/>
  <c r="X2" i="15" s="1"/>
  <c r="V2" i="6"/>
  <c r="V2" i="15" s="1"/>
  <c r="T2" i="6"/>
  <c r="T2" i="15" s="1"/>
  <c r="R2" i="6"/>
  <c r="R2" i="15" s="1"/>
  <c r="I2" i="6"/>
  <c r="I2" i="15" s="1"/>
  <c r="E31" i="6"/>
  <c r="E32" i="6"/>
  <c r="E33" i="6"/>
  <c r="E34" i="6"/>
  <c r="E30" i="6"/>
  <c r="E28" i="6"/>
  <c r="D31" i="6"/>
  <c r="D32" i="6"/>
  <c r="D33" i="6"/>
  <c r="D34" i="6"/>
  <c r="D30" i="6"/>
  <c r="D28" i="6"/>
  <c r="C28" i="6"/>
  <c r="B28" i="6"/>
  <c r="E26" i="6"/>
  <c r="B30" i="6"/>
  <c r="C30" i="6"/>
  <c r="B31" i="6"/>
  <c r="C31" i="6"/>
  <c r="B32" i="6"/>
  <c r="C32" i="6"/>
  <c r="B33" i="6"/>
  <c r="C33" i="6"/>
  <c r="B34" i="6"/>
  <c r="C34" i="6"/>
  <c r="B125" i="1"/>
  <c r="B23" i="1"/>
  <c r="B122" i="1" s="1"/>
  <c r="B24" i="1"/>
  <c r="B123" i="1" s="1"/>
  <c r="B25" i="1"/>
  <c r="B68" i="1" s="1"/>
  <c r="B26" i="1"/>
  <c r="B69" i="1" s="1"/>
  <c r="B27" i="1"/>
  <c r="B70" i="1" s="1"/>
  <c r="B28" i="1"/>
  <c r="B127" i="1" s="1"/>
  <c r="B29" i="1"/>
  <c r="B72" i="1" s="1"/>
  <c r="B30" i="1"/>
  <c r="B22" i="1"/>
  <c r="B65" i="1" s="1"/>
  <c r="B66" i="1"/>
  <c r="D31" i="2"/>
  <c r="AD6" i="15"/>
  <c r="AD7" i="15" s="1"/>
  <c r="AD8" i="15" s="1"/>
  <c r="AD9" i="15" s="1"/>
  <c r="B126" i="1" l="1"/>
  <c r="B121" i="1"/>
  <c r="Q8" i="15"/>
  <c r="Y4" i="6"/>
  <c r="Y4" i="15" s="1"/>
  <c r="Q7" i="15"/>
  <c r="Q4" i="6"/>
  <c r="Q4" i="15" s="1"/>
  <c r="X4" i="6"/>
  <c r="X4" i="15" s="1"/>
  <c r="T13" i="6"/>
  <c r="T14" i="6" s="1"/>
  <c r="Q6" i="15"/>
  <c r="Y11" i="15"/>
  <c r="W11" i="15"/>
  <c r="Q5" i="15"/>
  <c r="G13" i="6"/>
  <c r="R4" i="6"/>
  <c r="R4" i="15" s="1"/>
  <c r="D4" i="15"/>
  <c r="V4" i="6"/>
  <c r="V4" i="15" s="1"/>
  <c r="U4" i="6"/>
  <c r="U4" i="15" s="1"/>
  <c r="Q9" i="15"/>
  <c r="C13" i="6"/>
  <c r="H13" i="6"/>
  <c r="D13" i="6"/>
  <c r="D14" i="6" s="1"/>
  <c r="R13" i="6"/>
  <c r="X13" i="6"/>
  <c r="X14" i="6" s="1"/>
  <c r="Y13" i="6"/>
  <c r="Y14" i="6" s="1"/>
  <c r="V13" i="6"/>
  <c r="V14" i="6" s="1"/>
  <c r="F33" i="6"/>
  <c r="B35" i="6"/>
  <c r="W13" i="6"/>
  <c r="W14" i="6" s="1"/>
  <c r="F31" i="6"/>
  <c r="E35" i="6"/>
  <c r="C35" i="6"/>
  <c r="F34" i="6"/>
  <c r="F32" i="6"/>
  <c r="F28" i="6"/>
  <c r="F30" i="6"/>
  <c r="B124" i="1"/>
  <c r="B67" i="1"/>
  <c r="B71" i="1"/>
  <c r="B128" i="1"/>
  <c r="D35" i="6"/>
  <c r="C14" i="6" l="1"/>
  <c r="L19" i="6"/>
  <c r="L21" i="6" s="1"/>
  <c r="R14" i="6"/>
  <c r="F35" i="6"/>
  <c r="Z11" i="6" l="1"/>
  <c r="Z12" i="6"/>
  <c r="Z9" i="6"/>
  <c r="Z10" i="6"/>
  <c r="Z8" i="6"/>
  <c r="Z6" i="6"/>
  <c r="AA6" i="6" s="1"/>
  <c r="M6" i="6"/>
  <c r="M10" i="6"/>
  <c r="M7" i="15" s="1"/>
  <c r="M8" i="6"/>
  <c r="M5" i="15" s="1"/>
  <c r="M11" i="6"/>
  <c r="M8" i="15" s="1"/>
  <c r="M9" i="6"/>
  <c r="M6" i="15" s="1"/>
  <c r="M12" i="6"/>
  <c r="M9" i="15" s="1"/>
  <c r="M11" i="15" l="1"/>
  <c r="Z5" i="15"/>
  <c r="AA8" i="6"/>
  <c r="AA5" i="15" s="1"/>
  <c r="Z7" i="15"/>
  <c r="AA10" i="6"/>
  <c r="Z6" i="15"/>
  <c r="AA9" i="6"/>
  <c r="Z9" i="15"/>
  <c r="AA12" i="6"/>
  <c r="Z8" i="15"/>
  <c r="AA11" i="6"/>
  <c r="M13" i="6"/>
  <c r="M14" i="6" s="1"/>
  <c r="I17" i="10"/>
  <c r="Z11" i="15" l="1"/>
  <c r="B156" i="1"/>
  <c r="B155" i="1"/>
  <c r="B154" i="1"/>
  <c r="B153" i="1"/>
  <c r="B152" i="1"/>
  <c r="B151" i="1"/>
  <c r="B150" i="1"/>
  <c r="B149" i="1"/>
  <c r="B142" i="1"/>
  <c r="B141" i="1"/>
  <c r="B140" i="1"/>
  <c r="B139" i="1"/>
  <c r="B138" i="1"/>
  <c r="B137" i="1"/>
  <c r="B136" i="1"/>
  <c r="B135" i="1"/>
  <c r="B114" i="1"/>
  <c r="B113" i="1"/>
  <c r="B112" i="1"/>
  <c r="B111" i="1"/>
  <c r="B110" i="1"/>
  <c r="B109" i="1"/>
  <c r="B108" i="1"/>
  <c r="B107" i="1"/>
  <c r="B100" i="1"/>
  <c r="B99" i="1"/>
  <c r="B98" i="1"/>
  <c r="B97" i="1"/>
  <c r="B96" i="1"/>
  <c r="B95" i="1"/>
  <c r="B94" i="1"/>
  <c r="B93" i="1"/>
  <c r="B86" i="1"/>
  <c r="B85" i="1"/>
  <c r="B84" i="1"/>
  <c r="B83" i="1"/>
  <c r="B82" i="1"/>
  <c r="B81" i="1"/>
  <c r="B80" i="1"/>
  <c r="B79" i="1"/>
  <c r="B57" i="1"/>
  <c r="B56" i="1"/>
  <c r="B55" i="1"/>
  <c r="B54" i="1"/>
  <c r="B53" i="1"/>
  <c r="B52" i="1"/>
  <c r="B51" i="1"/>
  <c r="B50" i="1"/>
  <c r="B43" i="1"/>
  <c r="B42" i="1"/>
  <c r="B41" i="1"/>
  <c r="B40" i="1"/>
  <c r="B39" i="1"/>
  <c r="B38" i="1"/>
  <c r="B37" i="1"/>
  <c r="B36" i="1"/>
  <c r="C31" i="2"/>
  <c r="C33" i="2" l="1"/>
  <c r="E13" i="11"/>
  <c r="G13" i="11" s="1"/>
  <c r="K13" i="11" l="1"/>
  <c r="K9" i="6" l="1"/>
  <c r="K6" i="15" s="1"/>
  <c r="K10" i="6"/>
  <c r="K7" i="15" s="1"/>
  <c r="K11" i="6"/>
  <c r="K8" i="15" s="1"/>
  <c r="K12" i="6"/>
  <c r="K9" i="15" s="1"/>
  <c r="K8" i="6"/>
  <c r="K5" i="15" s="1"/>
  <c r="K6" i="6"/>
  <c r="L9" i="6"/>
  <c r="L6" i="15" s="1"/>
  <c r="L10" i="6"/>
  <c r="L7" i="15" s="1"/>
  <c r="L11" i="6"/>
  <c r="L8" i="15" s="1"/>
  <c r="L12" i="6"/>
  <c r="L9" i="15" s="1"/>
  <c r="L8" i="6"/>
  <c r="L5" i="15" s="1"/>
  <c r="L6" i="6"/>
  <c r="J9" i="6"/>
  <c r="J6" i="15" s="1"/>
  <c r="J10" i="6"/>
  <c r="J7" i="15" s="1"/>
  <c r="J11" i="6"/>
  <c r="J8" i="15" s="1"/>
  <c r="J12" i="6"/>
  <c r="J9" i="15" s="1"/>
  <c r="J8" i="6"/>
  <c r="J5" i="15" s="1"/>
  <c r="J6" i="6"/>
  <c r="I9" i="6"/>
  <c r="I6" i="15" s="1"/>
  <c r="I10" i="6"/>
  <c r="I7" i="15" s="1"/>
  <c r="I11" i="6"/>
  <c r="I8" i="15" s="1"/>
  <c r="I12" i="6"/>
  <c r="I9" i="15" s="1"/>
  <c r="I8" i="6"/>
  <c r="I5" i="15" s="1"/>
  <c r="N9" i="15" l="1"/>
  <c r="L11" i="15"/>
  <c r="N12" i="6"/>
  <c r="L13" i="6"/>
  <c r="L14" i="6" s="1"/>
  <c r="K13" i="6"/>
  <c r="K14" i="6" s="1"/>
  <c r="A19" i="1" l="1"/>
  <c r="AF10" i="15" l="1"/>
  <c r="AD10" i="15"/>
  <c r="P10" i="15"/>
  <c r="U13" i="6" l="1"/>
  <c r="U14" i="6" s="1"/>
  <c r="I18" i="10"/>
  <c r="I19" i="10"/>
  <c r="G14" i="6" l="1"/>
  <c r="H14" i="6"/>
  <c r="K14" i="11"/>
  <c r="A6" i="15"/>
  <c r="P6" i="15" s="1"/>
  <c r="A7" i="15"/>
  <c r="P7" i="15" s="1"/>
  <c r="A8" i="15"/>
  <c r="P8" i="15" s="1"/>
  <c r="A9" i="15"/>
  <c r="P9" i="15" s="1"/>
  <c r="A5" i="15"/>
  <c r="P5" i="15" s="1"/>
  <c r="A3" i="14"/>
  <c r="G14" i="11" l="1"/>
  <c r="F13" i="6" l="1"/>
  <c r="F14" i="6" s="1"/>
  <c r="G28" i="2"/>
  <c r="E46" i="13"/>
  <c r="I13" i="6" l="1"/>
  <c r="I14" i="6" s="1"/>
  <c r="M59" i="4" l="1"/>
  <c r="G11" i="8" l="1"/>
  <c r="A87" i="4"/>
  <c r="A79" i="4"/>
  <c r="A71" i="4"/>
  <c r="A63" i="4"/>
  <c r="A55" i="4"/>
  <c r="M53" i="4"/>
  <c r="D22" i="2" l="1"/>
  <c r="M57" i="4" s="1"/>
  <c r="B60" i="13" l="1"/>
  <c r="B61" i="13"/>
  <c r="B62" i="13"/>
  <c r="B63" i="13"/>
  <c r="B64" i="13"/>
  <c r="A1" i="14"/>
  <c r="C45" i="2"/>
  <c r="D33" i="2"/>
  <c r="D34" i="2" s="1"/>
  <c r="B54" i="13"/>
  <c r="B55" i="13"/>
  <c r="B56" i="13"/>
  <c r="B57" i="13"/>
  <c r="B58" i="13"/>
  <c r="B59" i="13"/>
  <c r="B53" i="13"/>
  <c r="B39" i="13"/>
  <c r="B33" i="13"/>
  <c r="B27" i="13"/>
  <c r="B21" i="13"/>
  <c r="B15" i="13"/>
  <c r="F45" i="2" l="1"/>
  <c r="H49" i="4"/>
  <c r="C12" i="11" l="1"/>
  <c r="E47" i="13" l="1"/>
  <c r="F47" i="4" s="1"/>
  <c r="E48" i="13"/>
  <c r="G47" i="4" s="1"/>
  <c r="E47" i="4"/>
  <c r="M54" i="4" l="1"/>
  <c r="M58" i="4" s="1"/>
  <c r="M60" i="4" l="1"/>
  <c r="B13" i="6"/>
  <c r="I11" i="15"/>
  <c r="D11" i="15" l="1"/>
  <c r="B11" i="15" l="1"/>
  <c r="E12" i="11" l="1"/>
  <c r="C15" i="10"/>
  <c r="E15" i="10"/>
  <c r="I15" i="10" s="1"/>
  <c r="K19" i="10"/>
  <c r="E3" i="5"/>
  <c r="E4" i="5"/>
  <c r="E5" i="5"/>
  <c r="E6" i="5"/>
  <c r="E8" i="5"/>
  <c r="E2" i="5"/>
  <c r="C3" i="5"/>
  <c r="C4" i="5"/>
  <c r="C5" i="5"/>
  <c r="C6" i="5"/>
  <c r="C8" i="5"/>
  <c r="G12" i="11" l="1"/>
  <c r="K12" i="11"/>
  <c r="E7" i="5"/>
  <c r="E10" i="5" s="1"/>
  <c r="F48" i="4"/>
  <c r="F49" i="4" l="1"/>
  <c r="C7" i="5"/>
  <c r="C10" i="5" s="1"/>
  <c r="C11" i="15" l="1"/>
  <c r="E11" i="6"/>
  <c r="E8" i="6"/>
  <c r="E10" i="6"/>
  <c r="E9" i="6"/>
  <c r="E6" i="6"/>
  <c r="N6" i="6" s="1"/>
  <c r="G18" i="2"/>
  <c r="G22" i="2"/>
  <c r="N10" i="6" l="1"/>
  <c r="E7" i="15"/>
  <c r="N7" i="15" s="1"/>
  <c r="N9" i="6"/>
  <c r="E6" i="15"/>
  <c r="N6" i="15" s="1"/>
  <c r="N11" i="6"/>
  <c r="E8" i="15"/>
  <c r="N8" i="15" s="1"/>
  <c r="N8" i="6"/>
  <c r="E5" i="15"/>
  <c r="N5" i="15" s="1"/>
  <c r="AF5" i="15" s="1"/>
  <c r="U11" i="15"/>
  <c r="T11" i="15"/>
  <c r="Q13" i="6"/>
  <c r="Q14" i="6" s="1"/>
  <c r="S13" i="6"/>
  <c r="S14" i="6" s="1"/>
  <c r="E13" i="6"/>
  <c r="N13" i="6" l="1"/>
  <c r="N15" i="6" s="1"/>
  <c r="B14" i="6"/>
  <c r="Z13" i="6"/>
  <c r="Z14" i="6" s="1"/>
  <c r="K11" i="15"/>
  <c r="R11" i="15"/>
  <c r="E14" i="6"/>
  <c r="B9" i="14"/>
  <c r="B8" i="14"/>
  <c r="E48" i="4"/>
  <c r="D28" i="14" l="1"/>
  <c r="E28" i="14" s="1"/>
  <c r="D21" i="14"/>
  <c r="D19" i="14"/>
  <c r="C21" i="14"/>
  <c r="C19" i="14"/>
  <c r="C22" i="14"/>
  <c r="C28" i="14"/>
  <c r="D22" i="14"/>
  <c r="E22" i="14" s="1"/>
  <c r="C18" i="14"/>
  <c r="C29" i="14"/>
  <c r="D20" i="14"/>
  <c r="D18" i="14"/>
  <c r="D29" i="14"/>
  <c r="E29" i="14" s="1"/>
  <c r="D25" i="14"/>
  <c r="D17" i="14"/>
  <c r="C17" i="14"/>
  <c r="C20" i="14"/>
  <c r="C25" i="14"/>
  <c r="Q11" i="15"/>
  <c r="E49" i="4"/>
  <c r="E19" i="14" l="1"/>
  <c r="E20" i="14"/>
  <c r="E21" i="14"/>
  <c r="E18" i="14"/>
  <c r="E17" i="14"/>
  <c r="E25" i="14"/>
  <c r="G48" i="4"/>
  <c r="E31" i="14" l="1"/>
  <c r="G49" i="4"/>
  <c r="S11" i="15"/>
  <c r="G31" i="14" l="1"/>
  <c r="E33" i="14"/>
  <c r="E34" i="14" s="1"/>
  <c r="G33" i="14" l="1"/>
  <c r="G34" i="14"/>
  <c r="AA9" i="15"/>
  <c r="C3" i="12"/>
  <c r="AA6" i="15" l="1"/>
  <c r="AF6" i="15" s="1"/>
  <c r="AA7" i="15"/>
  <c r="AF7" i="15" s="1"/>
  <c r="AA8" i="15"/>
  <c r="AF8" i="15" s="1"/>
  <c r="AF9" i="15"/>
  <c r="J13" i="6"/>
  <c r="J14" i="6" s="1"/>
  <c r="I8" i="11"/>
  <c r="A1" i="11"/>
  <c r="AF11" i="15" l="1"/>
  <c r="AA13" i="6"/>
  <c r="N11" i="15"/>
  <c r="J11" i="15"/>
  <c r="V11" i="15"/>
  <c r="G10" i="10"/>
  <c r="I7" i="10"/>
  <c r="E9" i="10"/>
  <c r="AA11" i="15" l="1"/>
  <c r="AF17" i="15" s="1"/>
  <c r="AA15" i="6"/>
  <c r="E3" i="12"/>
  <c r="K16" i="11"/>
  <c r="E14" i="10"/>
  <c r="I14" i="10" s="1"/>
  <c r="C14" i="10"/>
  <c r="K15" i="11" l="1"/>
  <c r="G3" i="12"/>
  <c r="G16" i="11"/>
  <c r="G15" i="11"/>
  <c r="H3" i="9" l="1"/>
  <c r="F3" i="9"/>
  <c r="D3" i="9"/>
  <c r="K23" i="8"/>
  <c r="C2" i="5" l="1"/>
  <c r="C40" i="4" l="1"/>
  <c r="C41" i="4"/>
  <c r="G29" i="2"/>
  <c r="G13" i="2"/>
  <c r="G12" i="2"/>
  <c r="G10" i="2"/>
  <c r="G9" i="2"/>
  <c r="C37" i="4" l="1"/>
  <c r="C43" i="4"/>
  <c r="D35" i="4" l="1"/>
  <c r="D12" i="4"/>
  <c r="D31" i="4"/>
  <c r="D33" i="4"/>
  <c r="D26" i="4"/>
  <c r="D15" i="4"/>
  <c r="D20" i="4"/>
  <c r="D11" i="4"/>
  <c r="E11" i="4" s="1"/>
  <c r="D27" i="4"/>
  <c r="D32" i="4"/>
  <c r="D22" i="4"/>
  <c r="D34" i="4"/>
  <c r="D10" i="4"/>
  <c r="D24" i="4"/>
  <c r="D25" i="4"/>
  <c r="D13" i="4"/>
  <c r="D16" i="4"/>
  <c r="D29" i="4"/>
  <c r="D30" i="4"/>
  <c r="D23" i="4"/>
  <c r="C45" i="4"/>
  <c r="D18" i="4"/>
  <c r="D21" i="4"/>
  <c r="D28" i="4"/>
  <c r="D19" i="4"/>
  <c r="D14" i="4"/>
  <c r="D17" i="4"/>
  <c r="F10" i="4" l="1"/>
  <c r="E10" i="4"/>
  <c r="G16" i="4"/>
  <c r="E16" i="4"/>
  <c r="F16" i="4"/>
  <c r="G28" i="4"/>
  <c r="E28" i="4"/>
  <c r="F28" i="4"/>
  <c r="F23" i="4"/>
  <c r="I23" i="13" s="1"/>
  <c r="G23" i="13" s="1"/>
  <c r="G23" i="4"/>
  <c r="I24" i="13" s="1"/>
  <c r="E23" i="4"/>
  <c r="I22" i="13" s="1"/>
  <c r="E13" i="4"/>
  <c r="F13" i="4"/>
  <c r="G13" i="4"/>
  <c r="E34" i="4"/>
  <c r="F34" i="4"/>
  <c r="G34" i="4"/>
  <c r="F11" i="4"/>
  <c r="G11" i="4"/>
  <c r="E33" i="4"/>
  <c r="F33" i="4"/>
  <c r="G33" i="4"/>
  <c r="E21" i="4"/>
  <c r="F21" i="4"/>
  <c r="G21" i="4"/>
  <c r="E25" i="4"/>
  <c r="I34" i="13" s="1"/>
  <c r="G34" i="13" s="1"/>
  <c r="F25" i="4"/>
  <c r="I35" i="13" s="1"/>
  <c r="G35" i="13" s="1"/>
  <c r="G25" i="4"/>
  <c r="I36" i="13" s="1"/>
  <c r="G36" i="13" s="1"/>
  <c r="G20" i="4"/>
  <c r="E20" i="4"/>
  <c r="F20" i="4"/>
  <c r="F31" i="4"/>
  <c r="G31" i="4"/>
  <c r="E31" i="4"/>
  <c r="E17" i="4"/>
  <c r="F17" i="4"/>
  <c r="G17" i="4"/>
  <c r="E30" i="4"/>
  <c r="F30" i="4"/>
  <c r="G30" i="4"/>
  <c r="E22" i="4"/>
  <c r="F22" i="4"/>
  <c r="I17" i="13" s="1"/>
  <c r="G22" i="4"/>
  <c r="I18" i="13" s="1"/>
  <c r="E14" i="4"/>
  <c r="F14" i="4"/>
  <c r="G14" i="4"/>
  <c r="E18" i="4"/>
  <c r="F18" i="4"/>
  <c r="G18" i="4"/>
  <c r="E29" i="4"/>
  <c r="F29" i="4"/>
  <c r="G29" i="4"/>
  <c r="G24" i="4"/>
  <c r="I30" i="13" s="1"/>
  <c r="G30" i="13" s="1"/>
  <c r="E24" i="4"/>
  <c r="I28" i="13" s="1"/>
  <c r="G28" i="13" s="1"/>
  <c r="F24" i="4"/>
  <c r="I29" i="13" s="1"/>
  <c r="G29" i="13" s="1"/>
  <c r="G32" i="4"/>
  <c r="E32" i="4"/>
  <c r="F32" i="4"/>
  <c r="F15" i="4"/>
  <c r="G15" i="4"/>
  <c r="E15" i="4"/>
  <c r="G12" i="4"/>
  <c r="E12" i="4"/>
  <c r="F12" i="4"/>
  <c r="F19" i="4"/>
  <c r="G19" i="4"/>
  <c r="E19" i="4"/>
  <c r="F27" i="4"/>
  <c r="G27" i="4"/>
  <c r="E27" i="4"/>
  <c r="E26" i="4"/>
  <c r="I40" i="13" s="1"/>
  <c r="G40" i="13" s="1"/>
  <c r="F26" i="4"/>
  <c r="I41" i="13" s="1"/>
  <c r="G41" i="13" s="1"/>
  <c r="G26" i="4"/>
  <c r="I42" i="13" s="1"/>
  <c r="G42" i="13" s="1"/>
  <c r="F35" i="4"/>
  <c r="G35" i="4"/>
  <c r="E35" i="4"/>
  <c r="G10" i="4"/>
  <c r="E4" i="12"/>
  <c r="E6" i="12" s="1"/>
  <c r="D41" i="4"/>
  <c r="D40" i="4"/>
  <c r="F37" i="4" l="1"/>
  <c r="F40" i="4"/>
  <c r="C89" i="4"/>
  <c r="D89" i="4"/>
  <c r="C88" i="4"/>
  <c r="D88" i="4"/>
  <c r="C80" i="4"/>
  <c r="D80" i="4"/>
  <c r="D90" i="4"/>
  <c r="C90" i="4"/>
  <c r="C81" i="4"/>
  <c r="D81" i="4"/>
  <c r="D72" i="4"/>
  <c r="C72" i="4"/>
  <c r="C82" i="4"/>
  <c r="D82" i="4"/>
  <c r="C73" i="4"/>
  <c r="D73" i="4"/>
  <c r="D74" i="4"/>
  <c r="C74" i="4"/>
  <c r="C65" i="4"/>
  <c r="D65" i="4"/>
  <c r="G37" i="4"/>
  <c r="E37" i="4"/>
  <c r="E40" i="4"/>
  <c r="I10" i="13" s="1"/>
  <c r="G10" i="13" s="1"/>
  <c r="I16" i="13"/>
  <c r="G16" i="13" s="1"/>
  <c r="E41" i="4"/>
  <c r="G24" i="13"/>
  <c r="G18" i="13"/>
  <c r="G22" i="13"/>
  <c r="G17" i="13"/>
  <c r="G31" i="13"/>
  <c r="E12" i="12"/>
  <c r="C4" i="12"/>
  <c r="D43" i="4"/>
  <c r="D45" i="4" s="1"/>
  <c r="D97" i="4" l="1"/>
  <c r="C97" i="4"/>
  <c r="C75" i="4"/>
  <c r="C77" i="4" s="1"/>
  <c r="D75" i="4"/>
  <c r="D77" i="4" s="1"/>
  <c r="C64" i="4"/>
  <c r="D64" i="4"/>
  <c r="C58" i="4"/>
  <c r="D58" i="4"/>
  <c r="D66" i="4"/>
  <c r="C66" i="4"/>
  <c r="C57" i="4"/>
  <c r="D57" i="4"/>
  <c r="D56" i="4"/>
  <c r="C56" i="4"/>
  <c r="G25" i="13"/>
  <c r="G19" i="13"/>
  <c r="G4" i="12"/>
  <c r="G6" i="12" s="1"/>
  <c r="C6" i="12"/>
  <c r="C12" i="12" s="1"/>
  <c r="E43" i="4"/>
  <c r="C67" i="4" l="1"/>
  <c r="C69" i="4" s="1"/>
  <c r="D67" i="4"/>
  <c r="D69" i="4" s="1"/>
  <c r="C59" i="4"/>
  <c r="D59" i="4"/>
  <c r="G46" i="13"/>
  <c r="I46" i="13"/>
  <c r="K46" i="13" s="1"/>
  <c r="G12" i="12"/>
  <c r="E45" i="4"/>
  <c r="L46" i="13" l="1"/>
  <c r="D61" i="4" l="1"/>
  <c r="E69" i="4" l="1"/>
  <c r="C61" i="4"/>
  <c r="E61" i="4" s="1"/>
  <c r="E77" i="4"/>
  <c r="H37" i="4" l="1"/>
  <c r="H21" i="4" s="1"/>
  <c r="H17" i="4" l="1"/>
  <c r="H18" i="4"/>
  <c r="H32" i="4"/>
  <c r="H29" i="4"/>
  <c r="H22" i="4"/>
  <c r="H23" i="4"/>
  <c r="H20" i="4"/>
  <c r="H26" i="4"/>
  <c r="H27" i="4"/>
  <c r="H28" i="4"/>
  <c r="H24" i="4"/>
  <c r="H33" i="4"/>
  <c r="H19" i="4"/>
  <c r="H31" i="4"/>
  <c r="H35" i="4"/>
  <c r="H25" i="4"/>
  <c r="H34" i="4"/>
  <c r="H30" i="4"/>
  <c r="H40" i="4" l="1"/>
  <c r="G40" i="4"/>
  <c r="H41" i="4"/>
  <c r="F41" i="4"/>
  <c r="G41" i="4"/>
  <c r="H43" i="4" l="1"/>
  <c r="H45" i="4" s="1"/>
  <c r="F43" i="4"/>
  <c r="F45" i="4" s="1"/>
  <c r="I12" i="13"/>
  <c r="G12" i="13" s="1"/>
  <c r="G43" i="4"/>
  <c r="G45" i="4" s="1"/>
  <c r="I11" i="13"/>
  <c r="G11" i="13" s="1"/>
  <c r="G43" i="13"/>
  <c r="G37" i="13"/>
  <c r="C98" i="4" l="1"/>
  <c r="D98" i="4"/>
  <c r="C99" i="4"/>
  <c r="D99" i="4"/>
  <c r="C91" i="4"/>
  <c r="C93" i="4" s="1"/>
  <c r="D91" i="4"/>
  <c r="D93" i="4" s="1"/>
  <c r="C83" i="4"/>
  <c r="C85" i="4" s="1"/>
  <c r="D83" i="4"/>
  <c r="D85" i="4" s="1"/>
  <c r="I48" i="13"/>
  <c r="K48" i="13" s="1"/>
  <c r="G48" i="13"/>
  <c r="G13" i="13"/>
  <c r="I47" i="13"/>
  <c r="K47" i="13" s="1"/>
  <c r="G47" i="13"/>
  <c r="G49" i="13" l="1"/>
  <c r="K49" i="13" s="1"/>
  <c r="C100" i="4"/>
  <c r="C102" i="4" s="1"/>
  <c r="D100" i="4"/>
  <c r="D102" i="4" s="1"/>
  <c r="E93" i="4"/>
  <c r="E85" i="4"/>
  <c r="I60" i="13"/>
  <c r="I64" i="13"/>
  <c r="I63" i="13"/>
  <c r="I61" i="13"/>
  <c r="I62" i="13"/>
  <c r="I54" i="13"/>
  <c r="I58" i="13"/>
  <c r="I55" i="13"/>
  <c r="I59" i="13"/>
  <c r="I56" i="13"/>
  <c r="I53" i="13"/>
  <c r="I57" i="13"/>
  <c r="L48" i="13"/>
  <c r="L47" i="13"/>
  <c r="E102" i="4" l="1"/>
  <c r="G67" i="13"/>
  <c r="N60" i="4"/>
  <c r="I65" i="13"/>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B22" authorId="1"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E47" authorId="0" shapeId="0" xr:uid="{00000000-0006-0000-0100-000004000000}">
      <text>
        <r>
          <rPr>
            <sz val="9"/>
            <color indexed="81"/>
            <rFont val="Tahoma"/>
            <family val="2"/>
          </rPr>
          <t xml:space="preserve">Input from PY
</t>
        </r>
      </text>
    </comment>
    <comment ref="F47" authorId="0" shapeId="0" xr:uid="{00000000-0006-0000-0100-000005000000}">
      <text>
        <r>
          <rPr>
            <b/>
            <sz val="9"/>
            <color indexed="81"/>
            <rFont val="Tahoma"/>
            <family val="2"/>
          </rPr>
          <t>Note:</t>
        </r>
        <r>
          <rPr>
            <sz val="9"/>
            <color indexed="81"/>
            <rFont val="Tahoma"/>
            <family val="2"/>
          </rPr>
          <t xml:space="preserve">
Input from prior year FS</t>
        </r>
      </text>
    </comment>
    <comment ref="G47" authorId="0" shapeId="0" xr:uid="{00000000-0006-0000-0100-000006000000}">
      <text>
        <r>
          <rPr>
            <b/>
            <sz val="9"/>
            <color indexed="81"/>
            <rFont val="Tahoma"/>
            <family val="2"/>
          </rPr>
          <t>Note:</t>
        </r>
        <r>
          <rPr>
            <sz val="9"/>
            <color indexed="81"/>
            <rFont val="Tahoma"/>
            <family val="2"/>
          </rPr>
          <t xml:space="preserve">
Input from prior year FS.</t>
        </r>
      </text>
    </comment>
    <comment ref="E48" authorId="0" shapeId="0" xr:uid="{00000000-0006-0000-0100-000007000000}">
      <text>
        <r>
          <rPr>
            <sz val="9"/>
            <color indexed="81"/>
            <rFont val="Tahoma"/>
            <family val="2"/>
          </rPr>
          <t>Linked from "State schedule" worksheet - Schedule of Pension Amounts by Employer. Employer Net Pension Liability/(Asset) at MD</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2017 </t>
        </r>
        <r>
          <rPr>
            <sz val="9"/>
            <color indexed="10"/>
            <rFont val="Tahoma"/>
            <family val="2"/>
          </rPr>
          <t>didn't (subtract)</t>
        </r>
        <r>
          <rPr>
            <sz val="9"/>
            <color indexed="81"/>
            <rFont val="Tahoma"/>
            <family val="2"/>
          </rPr>
          <t xml:space="preserve"> include transitional Liability Principal payment for total defined benefit
You can also get it from PY "State Schedule" cell C32</t>
        </r>
      </text>
    </comment>
    <comment ref="A54" authorId="2"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2018" it is the "Benefit" less "Transition Liability Contributions Principal Payments (if applicable)" use the link from F31 to find that report</t>
        </r>
      </text>
    </comment>
    <comment ref="C39" authorId="1" shapeId="0" xr:uid="{00000000-0006-0000-0200-000002000000}">
      <text>
        <r>
          <rPr>
            <sz val="9"/>
            <color indexed="81"/>
            <rFont val="Tahoma"/>
            <family val="2"/>
          </rPr>
          <t>This should be the number from the PERS schedule plus cell C-32 (contributions subsequent to the MD)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00000000-0006-0000-0400-000001000000}">
      <text>
        <r>
          <rPr>
            <b/>
            <sz val="9"/>
            <color indexed="81"/>
            <rFont val="Tahoma"/>
            <family val="2"/>
          </rPr>
          <t>Note:</t>
        </r>
        <r>
          <rPr>
            <sz val="9"/>
            <color indexed="81"/>
            <rFont val="Tahoma"/>
            <family val="2"/>
          </rPr>
          <t xml:space="preserve">
This comes from PY Exhibit B</t>
        </r>
      </text>
    </comment>
    <comment ref="B18" authorId="1" shapeId="0" xr:uid="{DA28FBAB-A656-4D23-897E-0649BB2C4DD6}">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19" authorId="1" shapeId="0" xr:uid="{1408D982-BA89-4CEE-8175-063E30271930}">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0" authorId="0" shapeId="0" xr:uid="{00000000-0006-0000-0400-000002000000}">
      <text>
        <r>
          <rPr>
            <b/>
            <sz val="9"/>
            <color indexed="81"/>
            <rFont val="Tahoma"/>
            <family val="2"/>
          </rPr>
          <t>Note:</t>
        </r>
        <r>
          <rPr>
            <sz val="9"/>
            <color indexed="81"/>
            <rFont val="Tahoma"/>
            <family val="2"/>
          </rPr>
          <t xml:space="preserve">
This comes from PY Exhibit B</t>
        </r>
      </text>
    </comment>
    <comment ref="B21" authorId="1" shapeId="0" xr:uid="{B121DF38-95D4-40E8-9C5F-146A0B5E431B}">
      <text>
        <r>
          <rPr>
            <sz val="9"/>
            <color indexed="81"/>
            <rFont val="Tahoma"/>
            <family val="2"/>
          </rPr>
          <t>Note:
This comes from PY Exhibit B</t>
        </r>
      </text>
    </comment>
    <comment ref="B22"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3"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5" authorId="2" shapeId="0" xr:uid="{2DC9918F-9AAB-42DF-A548-F50940DF6B3B}">
      <text>
        <r>
          <rPr>
            <b/>
            <sz val="9"/>
            <color indexed="81"/>
            <rFont val="Tahoma"/>
            <family val="2"/>
          </rPr>
          <t>Note:</t>
        </r>
        <r>
          <rPr>
            <sz val="9"/>
            <color indexed="81"/>
            <rFont val="Tahoma"/>
            <family val="2"/>
          </rPr>
          <t xml:space="preserve">
This amount comes from PY Exibit C </t>
        </r>
      </text>
    </comment>
    <comment ref="B28" authorId="1" shapeId="0" xr:uid="{01F6334B-12A0-4143-A943-BEF994C600C5}">
      <text>
        <r>
          <rPr>
            <b/>
            <sz val="9"/>
            <color indexed="81"/>
            <rFont val="Tahoma"/>
            <family val="2"/>
          </rPr>
          <t xml:space="preserve">Note:
</t>
        </r>
        <r>
          <rPr>
            <sz val="9"/>
            <color indexed="81"/>
            <rFont val="Tahoma"/>
            <family val="2"/>
          </rPr>
          <t xml:space="preserve">This comes from PY Exhibit B
</t>
        </r>
      </text>
    </comment>
    <comment ref="B29" authorId="1" shapeId="0" xr:uid="{2699E223-0515-44E2-BDCD-EAA98ACC5C2F}">
      <text>
        <r>
          <rPr>
            <b/>
            <sz val="9"/>
            <color indexed="81"/>
            <rFont val="Tahoma"/>
            <family val="2"/>
          </rPr>
          <t xml:space="preserve">Note:
</t>
        </r>
        <r>
          <rPr>
            <sz val="9"/>
            <color indexed="81"/>
            <rFont val="Tahoma"/>
            <family val="2"/>
          </rPr>
          <t xml:space="preserve">This comes from PY Exhibit B
</t>
        </r>
      </text>
    </comment>
    <comment ref="E31" authorId="2" shapeId="0" xr:uid="{7FED3EC4-F6E1-471C-98A9-196A8CF410D2}">
      <text>
        <r>
          <rPr>
            <b/>
            <sz val="9"/>
            <color indexed="81"/>
            <rFont val="Tahoma"/>
            <family val="2"/>
          </rPr>
          <t>Craig Popp:</t>
        </r>
        <r>
          <rPr>
            <sz val="9"/>
            <color indexed="81"/>
            <rFont val="Tahoma"/>
            <family val="2"/>
          </rPr>
          <t xml:space="preserve">
Rounded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2" authorId="0" shapeId="0" xr:uid="{00000000-0006-0000-0600-000001000000}">
      <text>
        <r>
          <rPr>
            <b/>
            <sz val="9"/>
            <color indexed="81"/>
            <rFont val="Tahoma"/>
            <family val="2"/>
          </rPr>
          <t>Note:</t>
        </r>
        <r>
          <rPr>
            <sz val="9"/>
            <color indexed="81"/>
            <rFont val="Tahoma"/>
            <family val="2"/>
          </rPr>
          <t xml:space="preserve">
Round last number to match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N8" authorId="0" shapeId="0" xr:uid="{00000000-0006-0000-0900-000001000000}">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 ref="N9" authorId="0" shapeId="0" xr:uid="{00000000-0006-0000-0900-000002000000}">
      <text>
        <r>
          <rPr>
            <b/>
            <sz val="9"/>
            <color indexed="81"/>
            <rFont val="Tahoma"/>
            <family val="2"/>
          </rPr>
          <t xml:space="preserve">Note:
</t>
        </r>
        <r>
          <rPr>
            <sz val="9"/>
            <color indexed="81"/>
            <rFont val="Tahoma"/>
            <family val="2"/>
          </rPr>
          <t xml:space="preserve">Adjust by.01 to make total equal 100%
</t>
        </r>
      </text>
    </comment>
    <comment ref="N11" authorId="0" shapeId="0" xr:uid="{E3D57C3B-04E1-4471-8465-D2075355E67E}">
      <text>
        <r>
          <rPr>
            <b/>
            <sz val="9"/>
            <color indexed="81"/>
            <rFont val="Tahoma"/>
            <family val="2"/>
          </rPr>
          <t xml:space="preserve">Note:
</t>
        </r>
        <r>
          <rPr>
            <sz val="9"/>
            <color indexed="81"/>
            <rFont val="Tahoma"/>
            <family val="2"/>
          </rPr>
          <t xml:space="preserve">Adjust by.01 to make total equal 100%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K19" authorId="0" shapeId="0" xr:uid="{00000000-0006-0000-0C00-000004000000}">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I12" authorId="0" shapeId="0" xr:uid="{6828A49A-AA90-42A5-97D9-D93190A9B092}">
      <text>
        <r>
          <rPr>
            <b/>
            <sz val="9"/>
            <color indexed="81"/>
            <rFont val="Tahoma"/>
            <family val="2"/>
          </rPr>
          <t>Note:</t>
        </r>
        <r>
          <rPr>
            <sz val="9"/>
            <color indexed="81"/>
            <rFont val="Tahoma"/>
            <family val="2"/>
          </rPr>
          <t xml:space="preserve">
This is the covered payroll amount paid in the prior year 7/1/17-6/30/18.  The net pension asset or liability determination is one year old; it was determined as of the measurement date</t>
        </r>
      </text>
    </comment>
  </commentList>
</comments>
</file>

<file path=xl/sharedStrings.xml><?xml version="1.0" encoding="utf-8"?>
<sst xmlns="http://schemas.openxmlformats.org/spreadsheetml/2006/main" count="840" uniqueCount="409">
  <si>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</si>
  <si>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</si>
  <si>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</si>
  <si>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</si>
  <si>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</si>
  <si>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</si>
  <si>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</si>
  <si>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</si>
  <si>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</si>
  <si>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</si>
  <si>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</si>
  <si>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</si>
  <si>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</si>
  <si>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</si>
  <si>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</si>
  <si>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</si>
  <si>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</si>
  <si>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</si>
  <si>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</si>
  <si>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</si>
  <si>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</si>
  <si>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</si>
  <si>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</si>
  <si>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</si>
  <si>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</si>
  <si>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</si>
  <si>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</si>
  <si>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</si>
  <si>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</si>
  <si>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</si>
  <si>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</si>
  <si>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</si>
  <si>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</si>
  <si>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</si>
  <si>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</si>
  <si>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</si>
  <si>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</si>
  <si>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</si>
  <si>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</si>
  <si>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</si>
  <si>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</si>
  <si>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</si>
  <si>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</si>
  <si>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</si>
  <si>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</si>
  <si>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</si>
  <si>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</si>
  <si>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</si>
  <si>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</si>
  <si>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</si>
  <si>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</si>
  <si>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</si>
  <si>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</si>
  <si>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</si>
  <si>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</si>
  <si>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</si>
  <si>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</si>
  <si>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</si>
  <si>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</si>
  <si>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</si>
  <si>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</si>
  <si>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</si>
  <si>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</si>
  <si>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</si>
  <si>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</si>
  <si>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</si>
  <si>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</si>
  <si>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</si>
  <si>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</si>
  <si>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</si>
  <si>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</si>
  <si>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</si>
  <si>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</si>
  <si>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</si>
  <si>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</si>
  <si>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Short-Term Bonds</t>
  </si>
  <si>
    <t>High Yield Bonds</t>
  </si>
  <si>
    <t>Small Cap US Equities</t>
  </si>
  <si>
    <t>Developed Foreign Equities</t>
  </si>
  <si>
    <t>Emerging Foreign Equities</t>
  </si>
  <si>
    <t>Private Equities</t>
  </si>
  <si>
    <t>Real Estate (Property)</t>
  </si>
  <si>
    <t>Real Estate (REITS)</t>
  </si>
  <si>
    <t>Commodities</t>
  </si>
  <si>
    <t>Assumed Inflation - Mean</t>
  </si>
  <si>
    <t>SCHEDULE OF THE PROPORTIONATE SHARE OF THE NET PENSION LIABILITY</t>
  </si>
  <si>
    <t>(a)</t>
  </si>
  <si>
    <t>(b)</t>
  </si>
  <si>
    <t>(b/c)</t>
  </si>
  <si>
    <t>Plan fiduciary</t>
  </si>
  <si>
    <t>(c)</t>
  </si>
  <si>
    <t>net position as</t>
  </si>
  <si>
    <t>Year</t>
  </si>
  <si>
    <t xml:space="preserve">proportion of </t>
  </si>
  <si>
    <t>proportionate share</t>
  </si>
  <si>
    <t xml:space="preserve">a percentage of </t>
  </si>
  <si>
    <t>Ended</t>
  </si>
  <si>
    <t xml:space="preserve"> the net pension</t>
  </si>
  <si>
    <t xml:space="preserve"> of the net pension</t>
  </si>
  <si>
    <t>covered</t>
  </si>
  <si>
    <t>of covered</t>
  </si>
  <si>
    <t>the total pension</t>
  </si>
  <si>
    <t>June 30,</t>
  </si>
  <si>
    <t>payroll</t>
  </si>
  <si>
    <t>liability</t>
  </si>
  <si>
    <t>SCHEDULE OF CONTRIBUTIONS</t>
  </si>
  <si>
    <t xml:space="preserve">Contributions in </t>
  </si>
  <si>
    <t>Contributions</t>
  </si>
  <si>
    <t>Statutorily</t>
  </si>
  <si>
    <t xml:space="preserve">relation to the </t>
  </si>
  <si>
    <t>Contribution</t>
  </si>
  <si>
    <t>as a percent</t>
  </si>
  <si>
    <t xml:space="preserve">required </t>
  </si>
  <si>
    <t>statutorily required</t>
  </si>
  <si>
    <t>deficiency</t>
  </si>
  <si>
    <t>contribution</t>
  </si>
  <si>
    <t>(excess)</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</si>
  <si>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</si>
  <si>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</si>
  <si>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</si>
  <si>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</si>
  <si>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</si>
  <si>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</si>
  <si>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</si>
  <si>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</si>
  <si>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Contribution vs</t>
  </si>
  <si>
    <t xml:space="preserve">Proportionate </t>
  </si>
  <si>
    <t>Total adjustment</t>
  </si>
  <si>
    <t>The amounts presented for each fiscal year were actuarial determined at December 31 and rolled forward to the measurement date.</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</si>
  <si>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</si>
  <si>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</si>
  <si>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</si>
  <si>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</si>
  <si>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</si>
  <si>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</si>
  <si>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</si>
  <si>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</si>
  <si>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</si>
  <si>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</si>
  <si>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</si>
  <si>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</si>
  <si>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</si>
  <si>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</si>
  <si>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</si>
  <si>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</si>
  <si>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</si>
  <si>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</si>
  <si>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</si>
  <si>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</si>
  <si>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</si>
  <si>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</si>
  <si>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</si>
  <si>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</si>
  <si>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</si>
  <si>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</si>
  <si>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</si>
  <si>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r>
      <rPr>
        <sz val="11"/>
        <color rgb="FF0F0F0F"/>
        <rFont val="Times New Roman"/>
        <family val="1"/>
      </rPr>
      <t>All assumptions,  methods and plan provisions  used in these calculations  are described in the Oregon PERS</t>
    </r>
  </si>
  <si>
    <t>Share of Contrib.</t>
  </si>
  <si>
    <t>Enterprise Activities</t>
  </si>
  <si>
    <t>City's</t>
  </si>
  <si>
    <t>liability (asset)</t>
  </si>
  <si>
    <t>proportionate share of the net pension liability (asset) as a percentage of its covered payroll</t>
  </si>
  <si>
    <t>(a-b)</t>
  </si>
  <si>
    <t>Net Pension Liability</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</si>
  <si>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</si>
  <si>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</si>
  <si>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</si>
  <si>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</si>
  <si>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</si>
  <si>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</si>
  <si>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</si>
  <si>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</si>
  <si>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</si>
  <si>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</si>
  <si>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</si>
  <si>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</si>
  <si>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</si>
  <si>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</si>
  <si>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</si>
  <si>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</si>
  <si>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</si>
  <si>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</si>
  <si>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</si>
  <si>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</si>
  <si>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</si>
  <si>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</si>
  <si>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Pension expense</t>
  </si>
  <si>
    <t>TB</t>
  </si>
  <si>
    <t>Governmental Pension Expense by Function</t>
  </si>
  <si>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</si>
  <si>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</si>
  <si>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</si>
  <si>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</si>
  <si>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</si>
  <si>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</si>
  <si>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</si>
  <si>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</si>
  <si>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</si>
  <si>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</si>
  <si>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</si>
  <si>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</si>
  <si>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</si>
  <si>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</si>
  <si>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</si>
  <si>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</si>
  <si>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</si>
  <si>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</si>
  <si>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</si>
  <si>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</si>
  <si>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</si>
  <si>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</si>
  <si>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</si>
  <si>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</si>
  <si>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</si>
  <si>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</si>
  <si>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FY2019</t>
  </si>
  <si>
    <t>FY2020</t>
  </si>
  <si>
    <t>FY2021</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</si>
  <si>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</si>
  <si>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</si>
  <si>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</si>
  <si>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</si>
  <si>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</si>
  <si>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</si>
  <si>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</si>
  <si>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</si>
  <si>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</si>
  <si>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</si>
  <si>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</si>
  <si>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Year 2-6, Deferred Outflow (Inflow)</t>
  </si>
  <si>
    <t>Deferred Inflows</t>
  </si>
  <si>
    <t>PY deferred outflow</t>
  </si>
  <si>
    <t>EXHIBIT B</t>
  </si>
  <si>
    <t>Investment (gains) or Losses</t>
  </si>
  <si>
    <t>Original Amount</t>
  </si>
  <si>
    <t>Measurement Period in Which Experience Arose</t>
  </si>
  <si>
    <t>Original Recognition</t>
  </si>
  <si>
    <t>Amount Recognized thereafter in Expense</t>
  </si>
  <si>
    <t>2014-2015</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</si>
  <si>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</si>
  <si>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</si>
  <si>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</si>
  <si>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</si>
  <si>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</si>
  <si>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</si>
  <si>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</si>
  <si>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</si>
  <si>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Long-Term Expected Rate of Return</t>
  </si>
  <si>
    <t>Discount Rate</t>
  </si>
  <si>
    <t>Cost of Living Adjustments (COLA)</t>
  </si>
  <si>
    <t>Measurement Date</t>
  </si>
  <si>
    <t>Difference in earnings</t>
  </si>
  <si>
    <t>Difference in experience</t>
  </si>
  <si>
    <t>Change in proportionate share</t>
  </si>
  <si>
    <t>Year of inception</t>
  </si>
  <si>
    <t>Difference in Contributions</t>
  </si>
  <si>
    <t>Change in Proportionate Share</t>
  </si>
  <si>
    <t>Exhibit H actual contributions</t>
  </si>
  <si>
    <t xml:space="preserve">Total   </t>
  </si>
  <si>
    <t>PY</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</si>
  <si>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</si>
  <si>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</si>
  <si>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</si>
  <si>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</si>
  <si>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</si>
  <si>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</si>
  <si>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</si>
  <si>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</si>
  <si>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</si>
  <si>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</si>
  <si>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City of XXX</t>
  </si>
  <si>
    <t>SLGRP</t>
  </si>
  <si>
    <t>Proportion</t>
  </si>
  <si>
    <t>CITY OF ***, OREGON</t>
  </si>
  <si>
    <t>For additional governmental funds</t>
  </si>
  <si>
    <t>For additional enterprise funds</t>
  </si>
  <si>
    <t>Assumed Asset Allocation</t>
  </si>
  <si>
    <t>Asset Class/Strategy</t>
  </si>
  <si>
    <t>Low Range</t>
  </si>
  <si>
    <t>High Range</t>
  </si>
  <si>
    <t>Target</t>
  </si>
  <si>
    <t>Cash</t>
  </si>
  <si>
    <t>Debt Securities</t>
  </si>
  <si>
    <t>Public Equity</t>
  </si>
  <si>
    <t>Private Equity</t>
  </si>
  <si>
    <t>Real Estate</t>
  </si>
  <si>
    <t>Alternative Equity</t>
  </si>
  <si>
    <t>Opportunity Portfolio</t>
  </si>
  <si>
    <t>Pension Expense/(income) per lead sheet</t>
  </si>
  <si>
    <t>RECONCILIATION TO PENSION EXPENSE FROM STATE SCHEDULE TO ADJUSTMENT</t>
  </si>
  <si>
    <t>DIFFERENCE BETWEEN LAST YEARS CONTRIBUTIONS AFTER MEASURMENT DATE AND CURRENT YEAR</t>
  </si>
  <si>
    <t>Measurement</t>
  </si>
  <si>
    <t>Date</t>
  </si>
  <si>
    <t>Electric</t>
  </si>
  <si>
    <t>Emergency Services</t>
  </si>
  <si>
    <t>Sewer</t>
  </si>
  <si>
    <t>Water</t>
  </si>
  <si>
    <t>2015-2016</t>
  </si>
  <si>
    <t>Assumption Changes or inputs</t>
  </si>
  <si>
    <t>Y</t>
  </si>
  <si>
    <t>FY2022</t>
  </si>
  <si>
    <t>Change in assumption</t>
  </si>
  <si>
    <t>Net Pension Asset*</t>
  </si>
  <si>
    <t xml:space="preserve"> - from Contributions &gt; MD**</t>
  </si>
  <si>
    <t>Difference Between Expected and Actual Experience</t>
  </si>
  <si>
    <t>This schedule is available online at the link below</t>
  </si>
  <si>
    <t>2.50 percent</t>
  </si>
  <si>
    <t>7.50 percent</t>
  </si>
  <si>
    <t>3.50 percent overall payroll growth</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</si>
  <si>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</si>
  <si>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</si>
  <si>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Bank/Leveraged Loans</t>
  </si>
  <si>
    <t>Large/Mid Cap US Equities</t>
  </si>
  <si>
    <t>Micro Cap US Equities</t>
  </si>
  <si>
    <t>Non-US Small Cap Equities</t>
  </si>
  <si>
    <t>Hedge Fund of Funds - Diversified</t>
  </si>
  <si>
    <t>Hedge Fund - Event-Driven</t>
  </si>
  <si>
    <t>Timber</t>
  </si>
  <si>
    <t>Farmland</t>
  </si>
  <si>
    <t>Infrastructure</t>
  </si>
  <si>
    <t>Year ended June 30:</t>
  </si>
  <si>
    <t>Thereafter</t>
  </si>
  <si>
    <t>Net pension asset (liability)</t>
  </si>
  <si>
    <t>https://www.oregon.gov/pers/EMP/Documents/GASB/2018/GASB-68-Individual-Employer-Schedules-2017.pdf</t>
  </si>
  <si>
    <t>2016-2017</t>
  </si>
  <si>
    <t>FY2023</t>
  </si>
  <si>
    <t>Balance 6/30/18</t>
  </si>
  <si>
    <t>Economic/demographic (gains) or losses</t>
  </si>
  <si>
    <r>
      <t xml:space="preserve">Proportionate Share, FY </t>
    </r>
    <r>
      <rPr>
        <sz val="10"/>
        <color rgb="FF0000FF"/>
        <rFont val="Verdana"/>
        <family val="2"/>
      </rPr>
      <t>2018</t>
    </r>
  </si>
  <si>
    <r>
      <rPr>
        <vertAlign val="superscript"/>
        <sz val="10"/>
        <rFont val="Times New Roman"/>
        <family val="1"/>
      </rPr>
      <t>1</t>
    </r>
    <r>
      <rPr>
        <sz val="10"/>
        <rFont val="Times New Roman"/>
        <family val="1"/>
      </rPr>
      <t>This schedule is presented to illustrate the requirements to show information for 10 years.  However, until a full 10-year trend has been compiled, information is presented only for the years for which the required supplementary information is available.</t>
    </r>
  </si>
  <si>
    <t>NOTES TO SCHEDULE</t>
  </si>
  <si>
    <t>Changes in Benefit Terms:</t>
  </si>
  <si>
    <t xml:space="preserve">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 </t>
  </si>
  <si>
    <t>Changes of Assumptions:</t>
  </si>
  <si>
    <t>Oregon Public Employees Retirement System – Cost-Sharing Multiple-Employer Defined Benefit Pension Plan Schedules of Employer Allocations and Pension Amounts by Employer FYE June 30, 2017</t>
  </si>
  <si>
    <t>https://www.oregon.gov/pers/EMP/Documents/GASB/2018/Oregon-PERS-GASB-68-YE-06-30-2017.pdf</t>
  </si>
  <si>
    <t>Actuarial Assumptions and Methods Used to Set the Actuarially Determined Contributions</t>
  </si>
  <si>
    <t>Effective:</t>
  </si>
  <si>
    <t>Actuarial cost method:</t>
  </si>
  <si>
    <t>Amortization method:</t>
  </si>
  <si>
    <t>Asset valuation method:</t>
  </si>
  <si>
    <t>Remaining amortization periods:</t>
  </si>
  <si>
    <t>Actuarial assumptions</t>
  </si>
  <si>
    <t>Inflation rate</t>
  </si>
  <si>
    <t>Projected salary increases</t>
  </si>
  <si>
    <t>Investment rate of return</t>
  </si>
  <si>
    <t>Actuarial valuation:</t>
  </si>
  <si>
    <t>July 2015 - June 2017</t>
  </si>
  <si>
    <t>Level percentage of payroll</t>
  </si>
  <si>
    <t>Market value</t>
  </si>
  <si>
    <t>20 years</t>
  </si>
  <si>
    <t>2.75 percent</t>
  </si>
  <si>
    <t>3.75 percent</t>
  </si>
  <si>
    <t>7.75 percent</t>
  </si>
  <si>
    <t>July 2013 - June 2015</t>
  </si>
  <si>
    <t>Projected Unit Credit</t>
  </si>
  <si>
    <t>N/A</t>
  </si>
  <si>
    <t>8.00 percent</t>
  </si>
  <si>
    <t xml:space="preserve"> - from Diff in Earnings* (2015-2016)</t>
  </si>
  <si>
    <t xml:space="preserve"> - from Diff in Earnings* (2014-2015)</t>
  </si>
  <si>
    <t xml:space="preserve"> - from Diff in Experience* (2015-2016)</t>
  </si>
  <si>
    <t xml:space="preserve"> - from Diff in Experience* (2014-2015)</t>
  </si>
  <si>
    <t xml:space="preserve"> - from Diff in Earnings* (2013-2014)</t>
  </si>
  <si>
    <t xml:space="preserve"> - from Diff in Assumption* (2015-2016)</t>
  </si>
  <si>
    <t>Exhibit H</t>
  </si>
  <si>
    <t>Exhibit I</t>
  </si>
  <si>
    <t>FY19</t>
  </si>
  <si>
    <t>Fiscal Year 6/30/19 Adjustments</t>
  </si>
  <si>
    <t>Balance 6/30/19</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</si>
  <si>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March 4, 2019.</t>
    </r>
  </si>
  <si>
    <r>
      <rPr>
        <sz val="11"/>
        <color rgb="FF0F0F0F"/>
        <rFont val="Times New Roman"/>
        <family val="1"/>
      </rPr>
      <t>o    Changes in proportionate share</t>
    </r>
    <r>
      <rPr>
        <sz val="11"/>
        <color rgb="FF000000"/>
        <rFont val="Times New Roman"/>
        <family val="1"/>
      </rPr>
      <t xml:space="preserve"> (per paragraph 55 of GASB 68)</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</si>
  <si>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r>
      <rPr>
        <sz val="11"/>
        <color rgb="FF000000"/>
        <rFont val="Times New Roman"/>
        <family val="1"/>
      </rPr>
      <t xml:space="preserve"> (per paragraph 55 of GASB 68)</t>
    </r>
  </si>
  <si>
    <t>2017-2018</t>
  </si>
  <si>
    <r>
      <t xml:space="preserve">Amount Recognized in </t>
    </r>
    <r>
      <rPr>
        <sz val="11"/>
        <color rgb="FF0000FF"/>
        <rFont val="Calibri"/>
        <family val="2"/>
        <scheme val="minor"/>
      </rPr>
      <t>6/30/2018</t>
    </r>
    <r>
      <rPr>
        <sz val="11"/>
        <rFont val="Calibri"/>
        <family val="2"/>
        <scheme val="minor"/>
      </rPr>
      <t xml:space="preserve"> Expense</t>
    </r>
  </si>
  <si>
    <r>
      <t>Balance of deferred (inflows)</t>
    </r>
    <r>
      <rPr>
        <sz val="11"/>
        <color rgb="FF0000FF"/>
        <rFont val="Calibri"/>
        <family val="2"/>
        <scheme val="minor"/>
      </rPr>
      <t xml:space="preserve"> 6/30/2018</t>
    </r>
  </si>
  <si>
    <r>
      <t>Balance of Deferred outflows</t>
    </r>
    <r>
      <rPr>
        <sz val="11"/>
        <color rgb="FF0000FF"/>
        <rFont val="Calibri"/>
        <family val="2"/>
        <scheme val="minor"/>
      </rPr>
      <t xml:space="preserve"> 6/30/2018</t>
    </r>
  </si>
  <si>
    <r>
      <t>Amount Recognized in</t>
    </r>
    <r>
      <rPr>
        <sz val="11"/>
        <color rgb="FF0000FF"/>
        <rFont val="Calibri"/>
        <family val="2"/>
        <scheme val="minor"/>
      </rPr>
      <t xml:space="preserve"> 6/30/2019 </t>
    </r>
    <r>
      <rPr>
        <sz val="11"/>
        <rFont val="Calibri"/>
        <family val="2"/>
        <scheme val="minor"/>
      </rPr>
      <t>Expense</t>
    </r>
  </si>
  <si>
    <r>
      <t xml:space="preserve">Amount Recognized in </t>
    </r>
    <r>
      <rPr>
        <sz val="11"/>
        <color rgb="FF0000FF"/>
        <rFont val="Calibri"/>
        <family val="2"/>
        <scheme val="minor"/>
      </rPr>
      <t>6/30/2020</t>
    </r>
    <r>
      <rPr>
        <sz val="11"/>
        <rFont val="Calibri"/>
        <family val="2"/>
        <scheme val="minor"/>
      </rPr>
      <t xml:space="preserve"> Expense</t>
    </r>
  </si>
  <si>
    <r>
      <t xml:space="preserve">Amount Recognized in </t>
    </r>
    <r>
      <rPr>
        <sz val="11"/>
        <color rgb="FF0000FF"/>
        <rFont val="Calibri"/>
        <family val="2"/>
        <scheme val="minor"/>
      </rPr>
      <t xml:space="preserve">6/30/2021 </t>
    </r>
    <r>
      <rPr>
        <sz val="11"/>
        <rFont val="Calibri"/>
        <family val="2"/>
        <scheme val="minor"/>
      </rPr>
      <t>Expense</t>
    </r>
  </si>
  <si>
    <r>
      <t>Amount Recognized in</t>
    </r>
    <r>
      <rPr>
        <sz val="11"/>
        <color rgb="FF0000FF"/>
        <rFont val="Calibri"/>
        <family val="2"/>
        <scheme val="minor"/>
      </rPr>
      <t xml:space="preserve"> 6/30/2022</t>
    </r>
    <r>
      <rPr>
        <sz val="11"/>
        <rFont val="Calibri"/>
        <family val="2"/>
        <scheme val="minor"/>
      </rPr>
      <t xml:space="preserve"> Expense</t>
    </r>
  </si>
  <si>
    <r>
      <t xml:space="preserve">Amount Recognized in </t>
    </r>
    <r>
      <rPr>
        <sz val="11"/>
        <color rgb="FF0000FF"/>
        <rFont val="Calibri"/>
        <family val="2"/>
        <scheme val="minor"/>
      </rPr>
      <t>6/30/2023</t>
    </r>
    <r>
      <rPr>
        <sz val="11"/>
        <rFont val="Calibri"/>
        <family val="2"/>
        <scheme val="minor"/>
      </rPr>
      <t xml:space="preserve"> Expense</t>
    </r>
  </si>
  <si>
    <t>https://www.oregon.gov/pers/EMP/Documents/GASB/2019/06302018-GASB68-Exhibits.pdf</t>
  </si>
  <si>
    <t>FY2024</t>
  </si>
  <si>
    <t>6/30/2018</t>
  </si>
  <si>
    <r>
      <t xml:space="preserve">Proportionate Share, FY </t>
    </r>
    <r>
      <rPr>
        <sz val="10"/>
        <color rgb="FF0000FF"/>
        <rFont val="Verdana"/>
        <family val="2"/>
      </rPr>
      <t>2019</t>
    </r>
  </si>
  <si>
    <t xml:space="preserve"> - from Diff in Earnings* (2016-2017)</t>
  </si>
  <si>
    <t xml:space="preserve"> - from Diff in Experience* (2016-2017)</t>
  </si>
  <si>
    <t>Need to be updated by client</t>
  </si>
  <si>
    <t>Not updated yet</t>
  </si>
  <si>
    <t>2019</t>
  </si>
  <si>
    <r>
      <t xml:space="preserve">Fiduciary net position as a percentage of the total pension liability. </t>
    </r>
    <r>
      <rPr>
        <sz val="10"/>
        <color rgb="FF0000FF"/>
        <rFont val="Times New Roman"/>
        <family val="1"/>
      </rPr>
      <t>Note 10 table 24 page 69</t>
    </r>
    <r>
      <rPr>
        <sz val="10"/>
        <rFont val="Times New Roman"/>
        <family val="1"/>
      </rPr>
      <t xml:space="preserve"> of the PERS CAFR</t>
    </r>
  </si>
  <si>
    <t>https://www.oregon.gov/pers/Documents/Financials/CAFR/2018-CAFR.pdf</t>
  </si>
  <si>
    <t>2016, published July 26, 2017</t>
  </si>
  <si>
    <r>
      <t xml:space="preserve">This information was created from the PERS CAFR </t>
    </r>
    <r>
      <rPr>
        <sz val="11"/>
        <color rgb="FF0000FF"/>
        <rFont val="Calibri"/>
        <family val="2"/>
        <scheme val="minor"/>
      </rPr>
      <t>table 27 on page 69</t>
    </r>
  </si>
  <si>
    <t>7.20 percent</t>
  </si>
  <si>
    <r>
      <rPr>
        <b/>
        <sz val="11"/>
        <color theme="1"/>
        <rFont val="Times New Roman"/>
        <family val="1"/>
      </rPr>
      <t>Health retirees and beneficiaries:</t>
    </r>
    <r>
      <rPr>
        <sz val="11"/>
        <color theme="1"/>
        <rFont val="Times New Roman"/>
        <family val="1"/>
      </rPr>
      <t xml:space="preserve">  RP-2014 healthy annuitant, sex-distinct, generational with Unisex, Social Secuity Data Scale, with collar adjustments and set-backs as described in the valuation. </t>
    </r>
  </si>
  <si>
    <r>
      <rPr>
        <b/>
        <sz val="11"/>
        <color theme="1"/>
        <rFont val="Times New Roman"/>
        <family val="1"/>
      </rPr>
      <t>Active Members:</t>
    </r>
    <r>
      <rPr>
        <sz val="11"/>
        <color theme="1"/>
        <rFont val="Times New Roman"/>
        <family val="1"/>
      </rPr>
      <t xml:space="preserve"> RP-2014 Employees, sex-distinct, generational with Unisex, Social Security Data Scale, with collar adjustments and set-backs as described in the valuation.</t>
    </r>
  </si>
  <si>
    <r>
      <rPr>
        <b/>
        <sz val="11"/>
        <color theme="1"/>
        <rFont val="Times New Roman"/>
        <family val="1"/>
      </rPr>
      <t>Disabled retirees:</t>
    </r>
    <r>
      <rPr>
        <sz val="11"/>
        <color theme="1"/>
        <rFont val="Times New Roman"/>
        <family val="1"/>
      </rPr>
      <t xml:space="preserve"> RP-2014 Disabled retirees, sex-distinct, generational with Unisex, Social Security Data Scale.</t>
    </r>
  </si>
  <si>
    <r>
      <t xml:space="preserve">This information was created from the PERS CAFR17 </t>
    </r>
    <r>
      <rPr>
        <sz val="11"/>
        <color rgb="FF0000FF"/>
        <rFont val="Calibri"/>
        <family val="2"/>
        <scheme val="minor"/>
      </rPr>
      <t>table 31 on page 72</t>
    </r>
  </si>
  <si>
    <t xml:space="preserve">The PERS Board adopted assumption changes that were used to measure the June 30, 2016 total pension liability and June 30, 2018 total pension liability. For June 30, 2016, the changes included the lowering of the long-term expected rate of return to 7.50 percent and lowering of the assumed inflation to 2.50 percent. For June 30, 2018, the long-term expected rate of return was lowered to 7.20 percent. In addition, the healthy mortality assumption was changed to reflect an updated mortality improvement scale for all groups, and assumptions were updated for merit increases, unused sick leave, and vacation pay were updated.
</t>
  </si>
  <si>
    <t>July 2017 - June 2019</t>
  </si>
  <si>
    <t>3.50 percent</t>
  </si>
  <si>
    <r>
      <t xml:space="preserve">1% Decrease </t>
    </r>
    <r>
      <rPr>
        <sz val="12"/>
        <color rgb="FF0000FF"/>
        <rFont val="Times New Roman"/>
        <family val="1"/>
      </rPr>
      <t>(6.20%</t>
    </r>
    <r>
      <rPr>
        <sz val="12"/>
        <color theme="1"/>
        <rFont val="Times New Roman"/>
        <family val="1"/>
      </rPr>
      <t>)</t>
    </r>
  </si>
  <si>
    <r>
      <t>Discount Rate (</t>
    </r>
    <r>
      <rPr>
        <sz val="12"/>
        <color rgb="FF0000FF"/>
        <rFont val="Times New Roman"/>
        <family val="1"/>
      </rPr>
      <t>7.20%</t>
    </r>
    <r>
      <rPr>
        <sz val="12"/>
        <color theme="1"/>
        <rFont val="Times New Roman"/>
        <family val="1"/>
      </rPr>
      <t>)</t>
    </r>
  </si>
  <si>
    <r>
      <t>1% Increase (</t>
    </r>
    <r>
      <rPr>
        <sz val="12"/>
        <color rgb="FF0000FF"/>
        <rFont val="Times New Roman"/>
        <family val="1"/>
      </rPr>
      <t>8.20%</t>
    </r>
    <r>
      <rPr>
        <sz val="12"/>
        <color theme="1"/>
        <rFont val="Times New Roman"/>
        <family val="1"/>
      </rPr>
      <t>)</t>
    </r>
  </si>
  <si>
    <r>
      <rPr>
        <sz val="12"/>
        <color rgb="FF0000FF"/>
        <rFont val="Times New Roman"/>
        <family val="1"/>
      </rPr>
      <t>City</t>
    </r>
    <r>
      <rPr>
        <sz val="12"/>
        <color theme="1"/>
        <rFont val="Times New Roman"/>
        <family val="1"/>
      </rPr>
      <t>'s proportionate share of the net pension liability (asset)</t>
    </r>
  </si>
  <si>
    <r>
      <t xml:space="preserve">For the Last </t>
    </r>
    <r>
      <rPr>
        <b/>
        <sz val="10"/>
        <color rgb="FF0000FF"/>
        <rFont val="Times New Roman"/>
        <family val="1"/>
      </rPr>
      <t xml:space="preserve">Six </t>
    </r>
    <r>
      <rPr>
        <b/>
        <sz val="10"/>
        <rFont val="Times New Roman"/>
        <family val="1"/>
      </rPr>
      <t>Fiscal Years</t>
    </r>
    <r>
      <rPr>
        <b/>
        <vertAlign val="superscript"/>
        <sz val="10"/>
        <rFont val="Times New Roman"/>
        <family val="1"/>
      </rPr>
      <t>1</t>
    </r>
  </si>
  <si>
    <r>
      <t xml:space="preserve">This information was created from PERS CAFR table on </t>
    </r>
    <r>
      <rPr>
        <sz val="11"/>
        <color rgb="FF0000FF"/>
        <rFont val="Calibri"/>
        <family val="2"/>
        <scheme val="minor"/>
      </rPr>
      <t>page 98</t>
    </r>
  </si>
  <si>
    <t>https://www.oregon.gov/pers/EMP/Documents/GASB/2019/Cash_Contribution_Subsequent_MD%206-30-updated.pdf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</si>
</sst>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57">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
      <b/>
      <sz val="11"/>
      <color theme="1"/>
      <name val="Times New Roman"/>
      <family val="1"/>
    </font>
    <font>
      <b/>
      <sz val="11"/>
      <name val="Calibri"/>
      <family val="2"/>
      <scheme val="minor"/>
    </font>
    <font>
      <sz val="12"/>
      <color theme="1"/>
      <name val="Times New Roman"/>
      <family val="1"/>
    </font>
    <font>
      <sz val="12"/>
      <color rgb="FF0000FF"/>
      <name val="Times New Roman"/>
      <family val="1"/>
    </font>
    <font>
      <sz val="12"/>
      <color theme="1"/>
      <name val="Calibri"/>
      <family val="2"/>
      <scheme val="minor"/>
    </font>
  </fonts>
  <fills count="13">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9999"/>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98">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43" fontId="11" fillId="0" borderId="0" xfId="1" applyFont="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xf numFmtId="165" fontId="11" fillId="0" borderId="0" xfId="1" applyNumberFormat="1" applyFont="1"/>
    <xf numFmtId="165" fontId="11" fillId="0" borderId="0" xfId="0" applyNumberFormat="1" applyFont="1"/>
    <xf numFmtId="165" fontId="11" fillId="4"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7" xfId="4" applyFont="1" applyBorder="1" applyAlignment="1">
      <alignment horizontal="center"/>
    </xf>
    <xf numFmtId="165" fontId="14" fillId="0" borderId="0" xfId="3" quotePrefix="1" applyNumberFormat="1" applyFont="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Border="1"/>
    <xf numFmtId="0" fontId="11" fillId="0" borderId="0" xfId="0" applyFont="1" applyAlignment="1">
      <alignment horizontal="right"/>
    </xf>
    <xf numFmtId="41" fontId="14" fillId="0" borderId="0" xfId="4" applyNumberFormat="1" applyFont="1"/>
    <xf numFmtId="10" fontId="14" fillId="0" borderId="0" xfId="3" applyNumberFormat="1" applyFont="1"/>
    <xf numFmtId="42" fontId="14" fillId="0" borderId="0" xfId="3" applyNumberFormat="1" applyFont="1" applyAlignment="1">
      <alignment horizontal="center"/>
    </xf>
    <xf numFmtId="0" fontId="16" fillId="0" borderId="0" xfId="4" applyFont="1" applyProtection="1">
      <protection locked="0"/>
    </xf>
    <xf numFmtId="166" fontId="14" fillId="0" borderId="0" xfId="3" quotePrefix="1" applyNumberFormat="1" applyFont="1" applyAlignment="1">
      <alignment horizontal="right"/>
    </xf>
    <xf numFmtId="10" fontId="14" fillId="0" borderId="0" xfId="3" quotePrefix="1" applyNumberFormat="1" applyFont="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6"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167" fontId="17" fillId="2" borderId="0" xfId="5" applyNumberFormat="1" applyFont="1" applyFill="1" applyAlignment="1">
      <alignment horizontal="left" vertical="top"/>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0" xfId="1" applyNumberFormat="1" applyFont="1"/>
    <xf numFmtId="41" fontId="11" fillId="0" borderId="0" xfId="0" applyNumberFormat="1" applyFont="1"/>
    <xf numFmtId="41" fontId="11" fillId="0" borderId="12" xfId="1" applyNumberFormat="1" applyFont="1" applyBorder="1"/>
    <xf numFmtId="0" fontId="16" fillId="0" borderId="7" xfId="4" applyFont="1" applyBorder="1" applyProtection="1">
      <protection locked="0"/>
    </xf>
    <xf numFmtId="168" fontId="11" fillId="0" borderId="10" xfId="2" applyNumberFormat="1" applyFont="1" applyBorder="1"/>
    <xf numFmtId="15" fontId="24" fillId="0" borderId="0" xfId="4" applyNumberFormat="1" applyFont="1" applyAlignment="1">
      <alignment horizontal="center"/>
    </xf>
    <xf numFmtId="0" fontId="0" fillId="3" borderId="0" xfId="0" applyFill="1"/>
    <xf numFmtId="168" fontId="11" fillId="0" borderId="12" xfId="2" applyNumberFormat="1" applyFont="1" applyBorder="1"/>
    <xf numFmtId="41" fontId="11" fillId="0" borderId="10" xfId="0" applyNumberFormat="1" applyFont="1" applyBorder="1"/>
    <xf numFmtId="41" fontId="11" fillId="6" borderId="0" xfId="0" applyNumberFormat="1" applyFont="1" applyFill="1"/>
    <xf numFmtId="0" fontId="10" fillId="3" borderId="0" xfId="6"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167" fontId="0" fillId="0" borderId="0" xfId="7" applyNumberFormat="1" applyFont="1"/>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43" fontId="0" fillId="6" borderId="0" xfId="1" applyFont="1" applyFill="1"/>
    <xf numFmtId="0" fontId="29" fillId="5" borderId="0" xfId="0" applyFont="1" applyFill="1"/>
    <xf numFmtId="0" fontId="29" fillId="5" borderId="7" xfId="0" applyFont="1" applyFill="1" applyBorder="1" applyAlignment="1">
      <alignment horizontal="center" wrapText="1"/>
    </xf>
    <xf numFmtId="0" fontId="29" fillId="5" borderId="0" xfId="0" applyFont="1" applyFill="1" applyAlignment="1">
      <alignment horizontal="center" wrapText="1"/>
    </xf>
    <xf numFmtId="0" fontId="29" fillId="0" borderId="0" xfId="0" applyFont="1"/>
    <xf numFmtId="0" fontId="29" fillId="5" borderId="0" xfId="0" applyFont="1" applyFill="1" applyAlignment="1">
      <alignment horizontal="justify" wrapText="1"/>
    </xf>
    <xf numFmtId="42" fontId="29" fillId="5" borderId="0" xfId="0" applyNumberFormat="1" applyFont="1" applyFill="1"/>
    <xf numFmtId="41" fontId="29" fillId="5" borderId="0" xfId="0" applyNumberFormat="1" applyFont="1" applyFill="1"/>
    <xf numFmtId="41" fontId="29" fillId="5" borderId="12" xfId="0" applyNumberFormat="1" applyFont="1" applyFill="1" applyBorder="1"/>
    <xf numFmtId="0" fontId="29" fillId="5" borderId="0" xfId="0" applyFont="1" applyFill="1" applyAlignment="1">
      <alignment horizontal="left" wrapText="1" indent="3"/>
    </xf>
    <xf numFmtId="42" fontId="29" fillId="5" borderId="10" xfId="0" applyNumberFormat="1" applyFont="1" applyFill="1" applyBorder="1"/>
    <xf numFmtId="0" fontId="29" fillId="5" borderId="0" xfId="0" applyFont="1" applyFill="1" applyAlignment="1">
      <alignment horizontal="center"/>
    </xf>
    <xf numFmtId="0" fontId="29" fillId="0" borderId="0" xfId="0" applyFont="1" applyAlignment="1">
      <alignment wrapText="1"/>
    </xf>
    <xf numFmtId="0" fontId="29" fillId="5" borderId="9" xfId="0" applyFont="1" applyFill="1" applyBorder="1" applyAlignment="1">
      <alignment vertical="top"/>
    </xf>
    <xf numFmtId="0" fontId="29" fillId="5" borderId="13" xfId="0" applyFont="1" applyFill="1" applyBorder="1" applyAlignment="1">
      <alignment vertical="top"/>
    </xf>
    <xf numFmtId="0" fontId="29" fillId="5" borderId="9" xfId="0" applyFont="1" applyFill="1" applyBorder="1" applyAlignment="1">
      <alignment horizontal="left" vertical="top" indent="1"/>
    </xf>
    <xf numFmtId="0" fontId="29" fillId="5" borderId="9" xfId="0" applyFont="1" applyFill="1" applyBorder="1" applyAlignment="1">
      <alignment horizontal="left" vertical="top" wrapText="1" indent="1"/>
    </xf>
    <xf numFmtId="0" fontId="29" fillId="5" borderId="16" xfId="0" applyFont="1" applyFill="1" applyBorder="1" applyAlignment="1">
      <alignment horizontal="left" vertical="top" indent="1"/>
    </xf>
    <xf numFmtId="0" fontId="29" fillId="5" borderId="19" xfId="0" applyFont="1" applyFill="1" applyBorder="1" applyAlignment="1">
      <alignment horizontal="left" vertical="top" indent="1"/>
    </xf>
    <xf numFmtId="0" fontId="29" fillId="5" borderId="19" xfId="0" applyFont="1" applyFill="1" applyBorder="1" applyAlignment="1">
      <alignment vertical="top"/>
    </xf>
    <xf numFmtId="0" fontId="29" fillId="5" borderId="20" xfId="0" applyFont="1" applyFill="1" applyBorder="1" applyAlignment="1">
      <alignment vertical="top"/>
    </xf>
    <xf numFmtId="10" fontId="29" fillId="5" borderId="0" xfId="0" applyNumberFormat="1" applyFont="1" applyFill="1" applyAlignment="1">
      <alignment horizontal="center"/>
    </xf>
    <xf numFmtId="10" fontId="29" fillId="5" borderId="12" xfId="0" applyNumberFormat="1" applyFont="1" applyFill="1" applyBorder="1" applyAlignment="1">
      <alignment horizontal="center"/>
    </xf>
    <xf numFmtId="0" fontId="29" fillId="5" borderId="0" xfId="0" applyFont="1" applyFill="1" applyAlignment="1">
      <alignment horizontal="left" indent="3"/>
    </xf>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xf numFmtId="0" fontId="31" fillId="0" borderId="7" xfId="8" applyBorder="1" applyAlignment="1">
      <alignment horizontal="center"/>
    </xf>
    <xf numFmtId="0" fontId="31" fillId="0" borderId="0" xfId="8" applyAlignment="1">
      <alignment horizontal="center"/>
    </xf>
    <xf numFmtId="43" fontId="31" fillId="0" borderId="0" xfId="9"/>
    <xf numFmtId="174" fontId="32" fillId="0" borderId="0" xfId="9" applyNumberFormat="1" applyFont="1" applyAlignment="1">
      <alignment horizontal="center"/>
    </xf>
    <xf numFmtId="174" fontId="31" fillId="0" borderId="0" xfId="9" applyNumberFormat="1"/>
    <xf numFmtId="165" fontId="31" fillId="0" borderId="7" xfId="9" applyNumberFormat="1" applyBorder="1" applyAlignment="1">
      <alignment horizontal="center"/>
    </xf>
    <xf numFmtId="43" fontId="32" fillId="0" borderId="0" xfId="9" applyFont="1"/>
    <xf numFmtId="165" fontId="31" fillId="0" borderId="0" xfId="9" applyNumberFormat="1" applyAlignment="1">
      <alignment horizontal="right"/>
    </xf>
    <xf numFmtId="41" fontId="29" fillId="0" borderId="12" xfId="0" applyNumberFormat="1" applyFont="1" applyBorder="1"/>
    <xf numFmtId="41" fontId="29" fillId="0" borderId="17" xfId="0" applyNumberFormat="1" applyFont="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6" fillId="0" borderId="0" xfId="9" applyNumberFormat="1" applyFont="1"/>
    <xf numFmtId="165" fontId="38" fillId="0" borderId="0" xfId="9" applyNumberFormat="1" applyFont="1" applyAlignment="1">
      <alignment wrapText="1"/>
    </xf>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6"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167" fontId="20" fillId="2" borderId="0" xfId="5" applyNumberFormat="1" applyFont="1" applyFill="1" applyAlignment="1">
      <alignment horizontal="right" vertical="top" wrapText="1"/>
    </xf>
    <xf numFmtId="167" fontId="20" fillId="2" borderId="0" xfId="5" applyNumberFormat="1" applyFont="1" applyFill="1" applyAlignment="1">
      <alignment horizontal="right"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Border="1"/>
    <xf numFmtId="166" fontId="13" fillId="0" borderId="5" xfId="2" applyNumberFormat="1" applyFont="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0" fillId="0" borderId="0" xfId="0" applyNumberFormat="1" applyFont="1"/>
    <xf numFmtId="41" fontId="29" fillId="6"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10" fontId="14" fillId="0" borderId="0" xfId="3" quotePrefix="1" applyNumberFormat="1" applyFont="1"/>
    <xf numFmtId="41" fontId="20" fillId="2" borderId="0" xfId="5" applyNumberFormat="1" applyFont="1" applyFill="1" applyAlignment="1">
      <alignment horizontal="left" vertical="top"/>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5" borderId="13" xfId="0" applyFont="1" applyFill="1" applyBorder="1" applyAlignment="1">
      <alignment horizontal="left" vertical="top" indent="1"/>
    </xf>
    <xf numFmtId="10" fontId="29" fillId="5" borderId="13" xfId="0" applyNumberFormat="1" applyFont="1" applyFill="1" applyBorder="1" applyAlignment="1">
      <alignment horizontal="justify" vertical="top" wrapText="1"/>
    </xf>
    <xf numFmtId="41" fontId="29" fillId="5" borderId="7" xfId="0" applyNumberFormat="1" applyFont="1" applyFill="1" applyBorder="1"/>
    <xf numFmtId="41" fontId="29" fillId="0" borderId="19"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42" fontId="29" fillId="5" borderId="9" xfId="0" applyNumberFormat="1" applyFont="1" applyFill="1" applyBorder="1" applyAlignment="1">
      <alignment horizontal="center" wrapText="1"/>
    </xf>
    <xf numFmtId="42" fontId="29" fillId="0" borderId="28" xfId="0" applyNumberFormat="1" applyFont="1" applyBorder="1"/>
    <xf numFmtId="42" fontId="29" fillId="0" borderId="29" xfId="0" applyNumberFormat="1" applyFont="1" applyBorder="1"/>
    <xf numFmtId="165" fontId="11" fillId="0" borderId="12" xfId="0" applyNumberFormat="1" applyFont="1" applyBorder="1"/>
    <xf numFmtId="0" fontId="10" fillId="0" borderId="0" xfId="6" applyAlignment="1">
      <alignment vertical="center"/>
    </xf>
    <xf numFmtId="41" fontId="5" fillId="6" borderId="0" xfId="0" applyNumberFormat="1" applyFont="1" applyFill="1"/>
    <xf numFmtId="165" fontId="43" fillId="0" borderId="0" xfId="1" applyNumberFormat="1" applyFont="1"/>
    <xf numFmtId="41" fontId="43" fillId="0" borderId="0" xfId="0" applyNumberFormat="1" applyFont="1"/>
    <xf numFmtId="0" fontId="17" fillId="0" borderId="0" xfId="5" applyFont="1" applyAlignment="1">
      <alignment horizontal="left" vertical="top"/>
    </xf>
    <xf numFmtId="165" fontId="25" fillId="0" borderId="0" xfId="1" applyNumberFormat="1" applyFont="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5" applyFont="1" applyAlignment="1">
      <alignment horizontal="left"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42" fontId="29" fillId="6" borderId="0" xfId="0" applyNumberFormat="1" applyFont="1" applyFill="1"/>
    <xf numFmtId="0" fontId="44" fillId="0" borderId="0" xfId="0" applyFont="1" applyAlignment="1">
      <alignment horizontal="center"/>
    </xf>
    <xf numFmtId="0" fontId="29" fillId="0" borderId="0" xfId="0" applyFont="1" applyAlignment="1">
      <alignment horizontal="center"/>
    </xf>
    <xf numFmtId="42" fontId="29" fillId="0" borderId="11" xfId="0" applyNumberFormat="1" applyFont="1" applyBorder="1"/>
    <xf numFmtId="165" fontId="11" fillId="0" borderId="11" xfId="1" applyNumberFormat="1" applyFont="1" applyBorder="1"/>
    <xf numFmtId="167" fontId="0" fillId="3" borderId="11" xfId="7" applyNumberFormat="1" applyFont="1" applyFill="1" applyBorder="1"/>
    <xf numFmtId="0" fontId="25" fillId="0" borderId="0" xfId="0" applyFont="1" applyAlignment="1">
      <alignment horizontal="center"/>
    </xf>
    <xf numFmtId="167" fontId="17" fillId="7" borderId="0" xfId="5" applyNumberFormat="1" applyFont="1" applyFill="1" applyAlignment="1">
      <alignment horizontal="left" vertical="top"/>
    </xf>
    <xf numFmtId="167" fontId="20" fillId="0" borderId="0" xfId="5" applyNumberFormat="1" applyFont="1" applyAlignment="1">
      <alignment horizontal="left" vertical="top"/>
    </xf>
    <xf numFmtId="41" fontId="20" fillId="0" borderId="0" xfId="5" applyNumberFormat="1" applyFont="1" applyAlignment="1">
      <alignment horizontal="left" vertical="top"/>
    </xf>
    <xf numFmtId="14" fontId="0" fillId="0" borderId="0" xfId="0" applyNumberFormat="1" applyAlignment="1">
      <alignment horizontal="left"/>
    </xf>
    <xf numFmtId="167" fontId="20" fillId="3" borderId="0" xfId="5" applyNumberFormat="1" applyFont="1" applyFill="1" applyAlignment="1">
      <alignment horizontal="right" vertical="top"/>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xf numFmtId="41" fontId="24" fillId="0" borderId="0" xfId="3" applyNumberFormat="1" applyFont="1" applyAlignment="1">
      <alignment horizontal="center"/>
    </xf>
    <xf numFmtId="0" fontId="41" fillId="0" borderId="0" xfId="0" applyFont="1"/>
    <xf numFmtId="165" fontId="11" fillId="0" borderId="7" xfId="0" applyNumberFormat="1" applyFont="1" applyBorder="1"/>
    <xf numFmtId="0" fontId="34" fillId="0" borderId="0" xfId="8" applyFont="1" applyAlignment="1">
      <alignment wrapText="1"/>
    </xf>
    <xf numFmtId="165" fontId="37" fillId="0" borderId="0" xfId="9" applyNumberFormat="1" applyFont="1" applyAlignment="1">
      <alignment wrapText="1"/>
    </xf>
    <xf numFmtId="41" fontId="5" fillId="0" borderId="3" xfId="1" applyNumberFormat="1" applyFont="1" applyBorder="1" applyAlignment="1">
      <alignment horizontal="left"/>
    </xf>
    <xf numFmtId="175" fontId="5" fillId="0" borderId="3" xfId="1" applyNumberFormat="1" applyFont="1" applyBorder="1" applyAlignment="1">
      <alignment horizontal="right"/>
    </xf>
    <xf numFmtId="43" fontId="11" fillId="0" borderId="0" xfId="0" applyNumberFormat="1" applyFont="1"/>
    <xf numFmtId="0" fontId="10" fillId="2" borderId="0" xfId="6" applyFill="1" applyAlignment="1">
      <alignment horizontal="left" vertical="top"/>
    </xf>
    <xf numFmtId="166" fontId="24" fillId="0" borderId="0" xfId="3" quotePrefix="1" applyNumberFormat="1" applyFont="1" applyAlignment="1">
      <alignment horizontal="right"/>
    </xf>
    <xf numFmtId="165" fontId="24" fillId="0" borderId="0" xfId="3" applyNumberFormat="1" applyFont="1" applyAlignment="1">
      <alignment horizontal="center"/>
    </xf>
    <xf numFmtId="41" fontId="24" fillId="0" borderId="0" xfId="3" applyNumberFormat="1" applyFont="1"/>
    <xf numFmtId="165" fontId="24" fillId="0" borderId="0" xfId="3" applyNumberFormat="1" applyFont="1"/>
    <xf numFmtId="165" fontId="30" fillId="0" borderId="0" xfId="0" applyNumberFormat="1" applyFont="1"/>
    <xf numFmtId="41" fontId="30" fillId="0" borderId="0" xfId="0" applyNumberFormat="1" applyFont="1"/>
    <xf numFmtId="0" fontId="47" fillId="0" borderId="0" xfId="5" applyFont="1" applyAlignment="1">
      <alignment horizontal="left" vertical="top"/>
    </xf>
    <xf numFmtId="0" fontId="48" fillId="0" borderId="0" xfId="5" applyFont="1" applyAlignment="1">
      <alignment horizontal="left" vertical="top"/>
    </xf>
    <xf numFmtId="14" fontId="0" fillId="0" borderId="0" xfId="0" applyNumberFormat="1"/>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44" fontId="49" fillId="0" borderId="0" xfId="7" applyFont="1"/>
    <xf numFmtId="0" fontId="12" fillId="0" borderId="7" xfId="0" applyFont="1" applyBorder="1" applyAlignment="1">
      <alignment horizontal="center"/>
    </xf>
    <xf numFmtId="0" fontId="12" fillId="0" borderId="0" xfId="0" applyFont="1" applyAlignment="1">
      <alignment horizontal="right"/>
    </xf>
    <xf numFmtId="41" fontId="29" fillId="2" borderId="0" xfId="5" applyNumberFormat="1" applyFont="1" applyFill="1" applyAlignment="1">
      <alignment horizontal="left" vertical="top"/>
    </xf>
    <xf numFmtId="167" fontId="29" fillId="0" borderId="0" xfId="5" applyNumberFormat="1" applyFont="1" applyAlignment="1">
      <alignment horizontal="right" vertical="top"/>
    </xf>
    <xf numFmtId="167" fontId="29" fillId="2" borderId="0" xfId="5" applyNumberFormat="1" applyFont="1" applyFill="1" applyAlignment="1">
      <alignment horizontal="right" vertical="top"/>
    </xf>
    <xf numFmtId="165" fontId="33" fillId="0" borderId="0" xfId="9" quotePrefix="1" applyNumberFormat="1" applyFont="1" applyAlignment="1">
      <alignment horizontal="center"/>
    </xf>
    <xf numFmtId="14" fontId="33" fillId="0" borderId="0" xfId="8" applyNumberFormat="1" applyFont="1" applyAlignment="1">
      <alignment horizontal="center"/>
    </xf>
    <xf numFmtId="0" fontId="10" fillId="0" borderId="0" xfId="6"/>
    <xf numFmtId="0" fontId="14" fillId="8" borderId="0" xfId="4" applyFont="1" applyFill="1"/>
    <xf numFmtId="42" fontId="24" fillId="8" borderId="0" xfId="1" applyNumberFormat="1" applyFont="1" applyFill="1"/>
    <xf numFmtId="41" fontId="12" fillId="8" borderId="0" xfId="0" applyNumberFormat="1" applyFont="1" applyFill="1"/>
    <xf numFmtId="41" fontId="11" fillId="8" borderId="0" xfId="0" applyNumberFormat="1" applyFont="1" applyFill="1"/>
    <xf numFmtId="0" fontId="11" fillId="8" borderId="0" xfId="0" applyFont="1" applyFill="1"/>
    <xf numFmtId="0" fontId="0" fillId="8" borderId="0" xfId="0" applyFill="1"/>
    <xf numFmtId="176" fontId="24" fillId="0" borderId="0" xfId="4" applyNumberFormat="1" applyFont="1"/>
    <xf numFmtId="0" fontId="16" fillId="0" borderId="0" xfId="4" applyFont="1"/>
    <xf numFmtId="0" fontId="16" fillId="0" borderId="7" xfId="4" quotePrefix="1" applyFont="1" applyBorder="1" applyProtection="1">
      <protection locked="0"/>
    </xf>
    <xf numFmtId="42" fontId="24" fillId="0" borderId="0" xfId="1" applyNumberFormat="1" applyFont="1"/>
    <xf numFmtId="0" fontId="14" fillId="0" borderId="0" xfId="4" applyFont="1" applyAlignment="1">
      <alignment horizontal="justify" wrapText="1"/>
    </xf>
    <xf numFmtId="0" fontId="24" fillId="0" borderId="0" xfId="4" applyFont="1" applyAlignment="1">
      <alignment horizontal="center"/>
    </xf>
    <xf numFmtId="42" fontId="14" fillId="0" borderId="0" xfId="1" applyNumberFormat="1" applyFont="1"/>
    <xf numFmtId="165" fontId="0" fillId="0" borderId="0" xfId="9" applyNumberFormat="1" applyFont="1" applyAlignment="1">
      <alignment horizontal="right" indent="2"/>
    </xf>
    <xf numFmtId="0" fontId="2" fillId="0" borderId="4" xfId="0" applyFont="1" applyBorder="1"/>
    <xf numFmtId="5" fontId="5" fillId="0" borderId="3" xfId="0" applyNumberFormat="1" applyFont="1" applyBorder="1" applyAlignment="1">
      <alignment horizontal="right"/>
    </xf>
    <xf numFmtId="41" fontId="29" fillId="0" borderId="26" xfId="0" applyNumberFormat="1" applyFont="1" applyBorder="1"/>
    <xf numFmtId="0" fontId="0" fillId="9" borderId="4" xfId="0" applyFill="1" applyBorder="1"/>
    <xf numFmtId="0" fontId="0" fillId="10" borderId="4" xfId="0" applyFill="1" applyBorder="1"/>
    <xf numFmtId="0" fontId="0" fillId="11" borderId="4" xfId="0" applyFill="1" applyBorder="1"/>
    <xf numFmtId="0" fontId="0" fillId="12" borderId="4" xfId="0" applyFill="1" applyBorder="1"/>
    <xf numFmtId="0" fontId="17" fillId="0" borderId="0" xfId="5" applyFont="1" applyAlignment="1">
      <alignment horizontal="left" wrapText="1"/>
    </xf>
    <xf numFmtId="14" fontId="29" fillId="4" borderId="0" xfId="0" applyNumberFormat="1" applyFont="1" applyFill="1"/>
    <xf numFmtId="0" fontId="0" fillId="4" borderId="4" xfId="0" applyFill="1" applyBorder="1"/>
    <xf numFmtId="41" fontId="29" fillId="6" borderId="0" xfId="0" applyNumberFormat="1" applyFont="1" applyFill="1" applyAlignment="1">
      <alignment horizontal="right"/>
    </xf>
    <xf numFmtId="3" fontId="29" fillId="0" borderId="0" xfId="0" applyNumberFormat="1" applyFont="1" applyAlignment="1">
      <alignment horizontal="right"/>
    </xf>
    <xf numFmtId="0" fontId="30" fillId="0" borderId="0" xfId="0" applyFont="1"/>
    <xf numFmtId="43" fontId="2" fillId="0" borderId="0" xfId="0" applyNumberFormat="1" applyFont="1"/>
    <xf numFmtId="43" fontId="0" fillId="0" borderId="0" xfId="0" applyNumberFormat="1"/>
    <xf numFmtId="0" fontId="36" fillId="0" borderId="0" xfId="8" applyFont="1" applyAlignment="1">
      <alignment horizontal="center"/>
    </xf>
    <xf numFmtId="14" fontId="29" fillId="0" borderId="7" xfId="0" applyNumberFormat="1" applyFont="1" applyBorder="1" applyAlignment="1">
      <alignment horizontal="center" wrapText="1"/>
    </xf>
    <xf numFmtId="14" fontId="29" fillId="0" borderId="0" xfId="0" applyNumberFormat="1" applyFont="1" applyAlignment="1">
      <alignment horizontal="center" wrapText="1"/>
    </xf>
    <xf numFmtId="0" fontId="52" fillId="5" borderId="7" xfId="0" applyFont="1" applyFill="1" applyBorder="1" applyAlignment="1">
      <alignment horizontal="center" wrapText="1"/>
    </xf>
    <xf numFmtId="0" fontId="52" fillId="5" borderId="0" xfId="0" applyFont="1" applyFill="1" applyAlignment="1">
      <alignment horizontal="center" wrapText="1"/>
    </xf>
    <xf numFmtId="0" fontId="24" fillId="0" borderId="0" xfId="4" quotePrefix="1" applyFont="1" applyAlignment="1">
      <alignment horizontal="center"/>
    </xf>
    <xf numFmtId="0" fontId="14" fillId="5" borderId="0" xfId="4" applyFont="1" applyFill="1"/>
    <xf numFmtId="0" fontId="24" fillId="5" borderId="0" xfId="4" applyFont="1" applyFill="1"/>
    <xf numFmtId="0" fontId="24" fillId="5" borderId="0" xfId="4" applyFont="1" applyFill="1" applyAlignment="1">
      <alignment horizontal="center"/>
    </xf>
    <xf numFmtId="0" fontId="14" fillId="5" borderId="0" xfId="4" applyFont="1" applyFill="1" applyAlignment="1">
      <alignment horizontal="left" indent="2"/>
    </xf>
    <xf numFmtId="41" fontId="53" fillId="0" borderId="3" xfId="1" applyNumberFormat="1" applyFont="1" applyBorder="1" applyAlignment="1">
      <alignment horizontal="left"/>
    </xf>
    <xf numFmtId="0" fontId="29" fillId="5" borderId="7" xfId="0" applyFont="1" applyFill="1" applyBorder="1" applyAlignment="1">
      <alignment horizontal="center"/>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0" xfId="0" applyFont="1" applyFill="1" applyAlignment="1">
      <alignment wrapText="1"/>
    </xf>
    <xf numFmtId="0" fontId="20" fillId="5" borderId="0" xfId="0" applyFont="1" applyFill="1" applyAlignment="1">
      <alignment horizontal="center"/>
    </xf>
    <xf numFmtId="42" fontId="29" fillId="5" borderId="11" xfId="0" applyNumberFormat="1" applyFont="1" applyFill="1" applyBorder="1"/>
    <xf numFmtId="0" fontId="29" fillId="5" borderId="7" xfId="0" applyFont="1" applyFill="1" applyBorder="1"/>
    <xf numFmtId="177" fontId="29" fillId="5" borderId="0" xfId="2" applyNumberFormat="1" applyFont="1" applyFill="1" applyAlignment="1">
      <alignment horizontal="center"/>
    </xf>
    <xf numFmtId="177" fontId="29" fillId="5" borderId="0" xfId="0" applyNumberFormat="1" applyFont="1" applyFill="1" applyAlignment="1">
      <alignment horizontal="center"/>
    </xf>
    <xf numFmtId="177" fontId="29" fillId="5" borderId="11" xfId="2" applyNumberFormat="1" applyFont="1" applyFill="1" applyBorder="1" applyAlignment="1">
      <alignment horizontal="center"/>
    </xf>
    <xf numFmtId="10" fontId="29" fillId="5" borderId="10" xfId="0" applyNumberFormat="1" applyFont="1" applyFill="1" applyBorder="1" applyAlignment="1">
      <alignment horizontal="center"/>
    </xf>
    <xf numFmtId="0" fontId="54" fillId="5" borderId="0" xfId="0" applyFont="1" applyFill="1"/>
    <xf numFmtId="0" fontId="54" fillId="5" borderId="7" xfId="0" applyFont="1" applyFill="1" applyBorder="1" applyAlignment="1">
      <alignment horizontal="center"/>
    </xf>
    <xf numFmtId="0" fontId="54" fillId="5" borderId="0" xfId="0" applyFont="1" applyFill="1" applyAlignment="1">
      <alignment horizontal="center"/>
    </xf>
    <xf numFmtId="0" fontId="54" fillId="0" borderId="0" xfId="0" applyFont="1"/>
    <xf numFmtId="0" fontId="56" fillId="0" borderId="0" xfId="0" applyFont="1"/>
    <xf numFmtId="167" fontId="54" fillId="0" borderId="0" xfId="7" applyNumberFormat="1" applyFont="1"/>
    <xf numFmtId="41" fontId="14" fillId="0" borderId="0" xfId="1" applyNumberFormat="1" applyFont="1"/>
    <xf numFmtId="14" fontId="0" fillId="0" borderId="0" xfId="0" applyNumberFormat="1" applyAlignment="1">
      <alignment horizontal="left"/>
    </xf>
    <xf numFmtId="167" fontId="20" fillId="2" borderId="9" xfId="5" applyNumberFormat="1" applyFont="1" applyFill="1" applyBorder="1" applyAlignment="1">
      <alignment horizontal="center" vertical="top"/>
    </xf>
    <xf numFmtId="0" fontId="17" fillId="2" borderId="0" xfId="5" applyFont="1" applyFill="1" applyAlignment="1">
      <alignment horizontal="center" vertical="top"/>
    </xf>
    <xf numFmtId="0" fontId="17" fillId="2" borderId="0" xfId="5" applyFont="1" applyFill="1" applyAlignment="1">
      <alignment vertical="top" wrapText="1"/>
    </xf>
    <xf numFmtId="0" fontId="17" fillId="2" borderId="0" xfId="5" applyFont="1" applyFill="1" applyAlignment="1">
      <alignment horizontal="left" vertical="top" wrapText="1" indent="7"/>
    </xf>
    <xf numFmtId="167" fontId="17" fillId="2" borderId="0" xfId="5" applyNumberFormat="1" applyFont="1" applyFill="1" applyAlignment="1">
      <alignment horizontal="center" vertical="top"/>
    </xf>
    <xf numFmtId="167" fontId="20" fillId="7" borderId="9" xfId="5" applyNumberFormat="1" applyFont="1" applyFill="1" applyBorder="1" applyAlignment="1">
      <alignment horizontal="center" vertical="top"/>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14" fontId="29" fillId="10" borderId="0" xfId="0" applyNumberFormat="1" applyFont="1" applyFill="1" applyAlignment="1">
      <alignment horizontal="center"/>
    </xf>
    <xf numFmtId="14" fontId="29" fillId="9" borderId="0" xfId="0" applyNumberFormat="1" applyFont="1" applyFill="1" applyAlignment="1">
      <alignment horizontal="center"/>
    </xf>
    <xf numFmtId="0" fontId="29" fillId="0" borderId="0" xfId="0" applyFont="1" applyAlignment="1">
      <alignment horizontal="center" wrapText="1"/>
    </xf>
    <xf numFmtId="14" fontId="29" fillId="11" borderId="0" xfId="0" applyNumberFormat="1" applyFont="1" applyFill="1" applyAlignment="1">
      <alignment horizontal="center"/>
    </xf>
    <xf numFmtId="14" fontId="29" fillId="12" borderId="0" xfId="0" applyNumberFormat="1" applyFont="1" applyFill="1" applyAlignment="1">
      <alignment horizontal="center"/>
    </xf>
    <xf numFmtId="0" fontId="29" fillId="0" borderId="7" xfId="0" applyFont="1" applyBorder="1" applyAlignment="1">
      <alignment horizontal="center"/>
    </xf>
    <xf numFmtId="0" fontId="29" fillId="5" borderId="7" xfId="0" applyFont="1" applyFill="1" applyBorder="1" applyAlignment="1">
      <alignment horizontal="center"/>
    </xf>
    <xf numFmtId="14" fontId="29" fillId="0" borderId="14" xfId="0" applyNumberFormat="1" applyFont="1" applyBorder="1" applyAlignment="1">
      <alignment horizontal="center" wrapText="1"/>
    </xf>
    <xf numFmtId="14" fontId="29" fillId="0" borderId="12" xfId="0" applyNumberFormat="1" applyFont="1" applyBorder="1" applyAlignment="1">
      <alignment horizontal="center" wrapText="1"/>
    </xf>
    <xf numFmtId="0" fontId="54" fillId="5" borderId="0" xfId="0" applyFont="1" applyFill="1" applyAlignment="1">
      <alignment wrapText="1"/>
    </xf>
    <xf numFmtId="0" fontId="54" fillId="0" borderId="0" xfId="0" applyFont="1" applyAlignment="1">
      <alignment wrapText="1"/>
    </xf>
    <xf numFmtId="0" fontId="29" fillId="5" borderId="13" xfId="0" applyFont="1" applyFill="1" applyBorder="1" applyAlignment="1">
      <alignment horizontal="left" wrapText="1"/>
    </xf>
    <xf numFmtId="0" fontId="29" fillId="5" borderId="14" xfId="0" applyFont="1" applyFill="1" applyBorder="1" applyAlignment="1">
      <alignment horizontal="left" wrapText="1"/>
    </xf>
    <xf numFmtId="0" fontId="29" fillId="5" borderId="15" xfId="0" applyFont="1" applyFill="1" applyBorder="1" applyAlignment="1">
      <alignment horizontal="left" wrapText="1"/>
    </xf>
    <xf numFmtId="0" fontId="29" fillId="5" borderId="20" xfId="0" applyFont="1" applyFill="1" applyBorder="1" applyAlignment="1">
      <alignment horizontal="justify" vertical="top" wrapText="1"/>
    </xf>
    <xf numFmtId="0" fontId="29" fillId="5" borderId="13" xfId="0" applyFont="1" applyFill="1" applyBorder="1" applyAlignment="1">
      <alignment horizontal="justify" vertical="top" wrapText="1"/>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26" xfId="0" applyFont="1" applyFill="1" applyBorder="1" applyAlignment="1">
      <alignment horizontal="justify" vertical="top" wrapText="1"/>
    </xf>
    <xf numFmtId="0" fontId="29" fillId="5" borderId="12" xfId="0" applyFont="1" applyFill="1" applyBorder="1" applyAlignment="1">
      <alignment horizontal="justify" vertical="top" wrapText="1"/>
    </xf>
    <xf numFmtId="0" fontId="29" fillId="5" borderId="27" xfId="0" applyFont="1" applyFill="1" applyBorder="1" applyAlignment="1">
      <alignment horizontal="justify" vertical="top" wrapText="1"/>
    </xf>
    <xf numFmtId="0" fontId="29" fillId="5" borderId="17" xfId="0" applyFont="1" applyFill="1" applyBorder="1" applyAlignment="1">
      <alignment horizontal="justify" vertical="top"/>
    </xf>
    <xf numFmtId="0" fontId="29" fillId="5" borderId="0" xfId="0" applyFont="1" applyFill="1" applyAlignment="1">
      <alignment horizontal="justify" vertical="top"/>
    </xf>
    <xf numFmtId="0" fontId="29" fillId="5" borderId="18" xfId="0" applyFont="1" applyFill="1" applyBorder="1" applyAlignment="1">
      <alignment horizontal="justify" vertical="top"/>
    </xf>
    <xf numFmtId="0" fontId="29" fillId="5" borderId="17" xfId="0" applyFont="1" applyFill="1" applyBorder="1" applyAlignment="1">
      <alignment horizontal="justify" vertical="top" wrapText="1"/>
    </xf>
    <xf numFmtId="0" fontId="29" fillId="5" borderId="0" xfId="0" applyFont="1" applyFill="1" applyAlignment="1">
      <alignment horizontal="justify" vertical="top" wrapText="1"/>
    </xf>
    <xf numFmtId="0" fontId="29" fillId="5" borderId="18" xfId="0" applyFont="1" applyFill="1" applyBorder="1" applyAlignment="1">
      <alignment horizontal="justify" vertical="top" wrapText="1"/>
    </xf>
    <xf numFmtId="0" fontId="29" fillId="5" borderId="21" xfId="0" applyFont="1" applyFill="1" applyBorder="1" applyAlignment="1">
      <alignment horizontal="justify" vertical="top"/>
    </xf>
    <xf numFmtId="0" fontId="29" fillId="5" borderId="7" xfId="0" applyFont="1" applyFill="1" applyBorder="1" applyAlignment="1">
      <alignment horizontal="justify" vertical="top"/>
    </xf>
    <xf numFmtId="0" fontId="29" fillId="5" borderId="22" xfId="0" applyFont="1" applyFill="1" applyBorder="1" applyAlignment="1">
      <alignment horizontal="justify" vertical="top"/>
    </xf>
    <xf numFmtId="0" fontId="29" fillId="5" borderId="26" xfId="0" applyFont="1" applyFill="1" applyBorder="1" applyAlignment="1">
      <alignment horizontal="justify" vertical="center" wrapText="1"/>
    </xf>
    <xf numFmtId="0" fontId="29" fillId="5" borderId="12" xfId="0" applyFont="1" applyFill="1" applyBorder="1" applyAlignment="1">
      <alignment horizontal="justify" vertical="center" wrapText="1"/>
    </xf>
    <xf numFmtId="0" fontId="29" fillId="5" borderId="27" xfId="0" applyFont="1" applyFill="1" applyBorder="1" applyAlignment="1">
      <alignment horizontal="justify" vertical="center" wrapText="1"/>
    </xf>
    <xf numFmtId="0" fontId="29" fillId="5" borderId="16" xfId="0" applyFont="1" applyFill="1" applyBorder="1" applyAlignment="1">
      <alignment horizontal="justify" vertical="top" wrapText="1"/>
    </xf>
    <xf numFmtId="176" fontId="29" fillId="5" borderId="13" xfId="0" applyNumberFormat="1" applyFont="1" applyFill="1" applyBorder="1" applyAlignment="1">
      <alignment horizontal="left" vertical="top" wrapText="1"/>
    </xf>
    <xf numFmtId="176" fontId="29" fillId="5" borderId="14" xfId="0" applyNumberFormat="1" applyFont="1" applyFill="1" applyBorder="1" applyAlignment="1">
      <alignment horizontal="left" vertical="top" wrapText="1"/>
    </xf>
    <xf numFmtId="176" fontId="29" fillId="5" borderId="15" xfId="0" applyNumberFormat="1" applyFont="1" applyFill="1" applyBorder="1" applyAlignment="1">
      <alignment horizontal="left" vertical="top" wrapText="1"/>
    </xf>
    <xf numFmtId="0" fontId="29" fillId="5" borderId="9" xfId="0" applyFont="1" applyFill="1" applyBorder="1" applyAlignment="1">
      <alignment horizontal="justify" vertical="top" wrapText="1"/>
    </xf>
    <xf numFmtId="0" fontId="30" fillId="3" borderId="0" xfId="0" applyFont="1" applyFill="1" applyAlignment="1">
      <alignment wrapText="1"/>
    </xf>
    <xf numFmtId="0" fontId="24" fillId="0" borderId="0" xfId="4" applyFont="1" applyAlignment="1">
      <alignment horizontal="justify" vertical="top" wrapText="1"/>
    </xf>
    <xf numFmtId="0" fontId="14" fillId="0" borderId="0" xfId="4" applyFont="1" applyAlignment="1">
      <alignment horizontal="justify"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176" fontId="24" fillId="5" borderId="0" xfId="4" applyNumberFormat="1" applyFont="1" applyFill="1" applyAlignment="1">
      <alignment horizontal="center"/>
    </xf>
  </cellXfs>
  <cellStyles count="19">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0000FF"/>
      <color rgb="FFFFFF00"/>
      <color rgb="FFFF9999"/>
      <color rgb="FFFF7C8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114300</xdr:rowOff>
    </xdr:from>
    <xdr:to>
      <xdr:col>11</xdr:col>
      <xdr:colOff>9525</xdr:colOff>
      <xdr:row>37</xdr:row>
      <xdr:rowOff>38100</xdr:rowOff>
    </xdr:to>
    <xdr:pic>
      <xdr:nvPicPr>
        <xdr:cNvPr id="11" name="Picture 10">
          <a:extLst>
            <a:ext uri="{FF2B5EF4-FFF2-40B4-BE49-F238E27FC236}">
              <a16:creationId xmlns:a16="http://schemas.microsoft.com/office/drawing/2014/main" id="{E34BCC2E-A449-45F7-A672-115646235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5875"/>
          <a:ext cx="6734175"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regon.gov/pers/Documents/Financials/CAFR/2018-CAFR.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https://www.oregon.gov/pers/Documents/Financials/CAFR/2018-CAFR.pdf" TargetMode="External"/><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regon.gov/pers/Documents/Financials/CAFR/2018-CAFR.pdf" TargetMode="External"/><Relationship Id="rId1" Type="http://schemas.openxmlformats.org/officeDocument/2006/relationships/hyperlink" Target="https://www.oregon.gov/pers/Documents/Financials/CAFR/2018-CAFR.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oregon.gov/pers/EMP/Documents/GASB/2018/Oregon-PERS-GASB-68-YE-06-30-2017.pdf"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regon.gov/pers/EMP/Documents/GASB/2019/Cash_Contribution_Subsequent_MD%206-30-updated.pdf" TargetMode="External"/><Relationship Id="rId1" Type="http://schemas.openxmlformats.org/officeDocument/2006/relationships/hyperlink" Target="https://www.oregon.gov/pers/EMP/Documents/GASB/2018/GASB-68-Individual-Employer-Schedules-2017.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regon.gov/pers/EMP/Documents/GASB/2019/06302018-GASB68-Exhibits.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L70"/>
  <sheetViews>
    <sheetView tabSelected="1" workbookViewId="0">
      <selection activeCell="J43" sqref="J43"/>
    </sheetView>
  </sheetViews>
  <sheetFormatPr defaultRowHeight="14.4"/>
  <cols>
    <col min="1" max="1" width="3.33203125" customWidth="1"/>
    <col min="2" max="2" width="39.5546875" customWidth="1"/>
    <col min="3" max="3" width="0" hidden="1" customWidth="1"/>
    <col min="4" max="4" width="2.33203125" customWidth="1"/>
    <col min="5" max="5" width="11.109375" customWidth="1"/>
    <col min="6" max="6" width="5.33203125" style="89" customWidth="1"/>
    <col min="7" max="7" width="11.33203125" bestFit="1" customWidth="1"/>
    <col min="8" max="8" width="4" customWidth="1"/>
    <col min="9" max="9" width="13" customWidth="1"/>
    <col min="10" max="10" width="8.109375" style="92" customWidth="1"/>
    <col min="11" max="11" width="11.33203125" style="92" bestFit="1" customWidth="1"/>
  </cols>
  <sheetData>
    <row r="1" spans="1:11">
      <c r="A1" t="s">
        <v>267</v>
      </c>
    </row>
    <row r="2" spans="1:11">
      <c r="A2" t="s">
        <v>176</v>
      </c>
    </row>
    <row r="3" spans="1:11">
      <c r="A3" s="343">
        <v>43646</v>
      </c>
      <c r="B3" s="343"/>
      <c r="C3" s="343"/>
      <c r="D3" s="343"/>
      <c r="E3" s="343"/>
      <c r="F3" s="343"/>
    </row>
    <row r="5" spans="1:11">
      <c r="A5" s="1"/>
      <c r="B5" s="1"/>
      <c r="E5" s="89"/>
      <c r="G5" s="84"/>
      <c r="I5" s="84"/>
    </row>
    <row r="6" spans="1:11">
      <c r="A6" s="1"/>
      <c r="B6" s="1"/>
      <c r="C6" s="1"/>
      <c r="E6" s="84" t="s">
        <v>179</v>
      </c>
      <c r="G6" s="84" t="s">
        <v>183</v>
      </c>
      <c r="H6" s="1"/>
      <c r="I6" s="84" t="s">
        <v>181</v>
      </c>
    </row>
    <row r="7" spans="1:11" s="84" customFormat="1">
      <c r="C7" s="85">
        <v>2014</v>
      </c>
      <c r="E7" s="85" t="s">
        <v>180</v>
      </c>
      <c r="G7" s="85" t="s">
        <v>184</v>
      </c>
      <c r="I7" s="85" t="s">
        <v>180</v>
      </c>
      <c r="J7" s="95" t="s">
        <v>187</v>
      </c>
      <c r="K7" s="93"/>
    </row>
    <row r="9" spans="1:11">
      <c r="B9" s="1" t="s">
        <v>182</v>
      </c>
    </row>
    <row r="10" spans="1:11">
      <c r="B10" t="s">
        <v>322</v>
      </c>
      <c r="E10" s="192">
        <v>-530713.26439991209</v>
      </c>
      <c r="G10" s="86">
        <f>I10-E10</f>
        <v>131347.19936453085</v>
      </c>
      <c r="I10" s="86">
        <f>'FY19 Entries'!E40</f>
        <v>-399366.06503538124</v>
      </c>
    </row>
    <row r="11" spans="1:11">
      <c r="B11" s="21" t="s">
        <v>178</v>
      </c>
      <c r="E11" s="192">
        <v>235647.06806986721</v>
      </c>
      <c r="G11" s="86">
        <f t="shared" ref="G11:G12" si="0">I11-E11</f>
        <v>-10377.722087458649</v>
      </c>
      <c r="I11" s="86">
        <f>'FY19 Entries'!F40</f>
        <v>225269.34598240856</v>
      </c>
    </row>
    <row r="12" spans="1:11">
      <c r="B12" s="21" t="s">
        <v>177</v>
      </c>
      <c r="E12" s="192">
        <v>-7116.0151047245963</v>
      </c>
      <c r="G12" s="86">
        <f t="shared" si="0"/>
        <v>-93289.007671546802</v>
      </c>
      <c r="I12" s="86">
        <f>'FY19 Entries'!G40</f>
        <v>-100405.02277627141</v>
      </c>
    </row>
    <row r="13" spans="1:11">
      <c r="B13" s="21" t="s">
        <v>186</v>
      </c>
      <c r="E13" s="192"/>
      <c r="G13" s="87">
        <f>-SUM(G10:G12)</f>
        <v>-27680.469605525403</v>
      </c>
      <c r="I13" s="86"/>
    </row>
    <row r="14" spans="1:11">
      <c r="E14" s="97" t="s">
        <v>259</v>
      </c>
    </row>
    <row r="15" spans="1:11">
      <c r="B15" s="1" t="str">
        <f>'FY19 Entries'!A22</f>
        <v>Electric</v>
      </c>
      <c r="E15" s="173"/>
    </row>
    <row r="16" spans="1:11">
      <c r="B16" t="s">
        <v>322</v>
      </c>
      <c r="E16" s="192">
        <v>-413325.91494292032</v>
      </c>
      <c r="G16" s="86">
        <f>I16-E16</f>
        <v>12177.60220566747</v>
      </c>
      <c r="I16" s="86">
        <f>'FY19 Entries'!E22</f>
        <v>-401148.31273725285</v>
      </c>
    </row>
    <row r="17" spans="1:9">
      <c r="B17" s="21" t="s">
        <v>178</v>
      </c>
      <c r="C17" s="86">
        <v>0</v>
      </c>
      <c r="D17" s="86"/>
      <c r="E17" s="192">
        <v>183524.78927340449</v>
      </c>
      <c r="F17" s="96"/>
      <c r="G17" s="86">
        <f t="shared" ref="G17:G18" si="1">I17-E17</f>
        <v>42749.864393681026</v>
      </c>
      <c r="H17" s="86"/>
      <c r="I17" s="86">
        <f>'FY19 Entries'!F22</f>
        <v>226274.65366708551</v>
      </c>
    </row>
    <row r="18" spans="1:9">
      <c r="A18" s="83"/>
      <c r="B18" s="21" t="s">
        <v>177</v>
      </c>
      <c r="C18" s="86"/>
      <c r="D18" s="86"/>
      <c r="E18" s="192">
        <v>-5542.038707537572</v>
      </c>
      <c r="F18" s="96"/>
      <c r="G18" s="86">
        <f t="shared" si="1"/>
        <v>-95311.060750170247</v>
      </c>
      <c r="H18" s="86"/>
      <c r="I18" s="86">
        <f>'FY19 Entries'!G22</f>
        <v>-100853.09945770782</v>
      </c>
    </row>
    <row r="19" spans="1:9">
      <c r="B19" s="21" t="s">
        <v>186</v>
      </c>
      <c r="C19" s="86">
        <v>0</v>
      </c>
      <c r="D19" s="86"/>
      <c r="E19" s="192"/>
      <c r="F19" s="96"/>
      <c r="G19" s="86">
        <f>-SUM(G16:G18)</f>
        <v>40383.594150821751</v>
      </c>
      <c r="H19" s="86"/>
      <c r="I19" s="86"/>
    </row>
    <row r="20" spans="1:9">
      <c r="C20" s="86"/>
      <c r="D20" s="86"/>
      <c r="E20" s="97" t="s">
        <v>259</v>
      </c>
      <c r="F20" s="96"/>
      <c r="G20" s="86"/>
      <c r="H20" s="86"/>
      <c r="I20" s="86"/>
    </row>
    <row r="21" spans="1:9">
      <c r="B21" s="1" t="str">
        <f>'FY19 Entries'!A23</f>
        <v>Emergency Services</v>
      </c>
      <c r="C21" s="86"/>
      <c r="D21" s="86"/>
      <c r="E21" s="192"/>
      <c r="F21" s="96"/>
      <c r="G21" s="86"/>
      <c r="H21" s="86"/>
      <c r="I21" s="86"/>
    </row>
    <row r="22" spans="1:9">
      <c r="B22" t="s">
        <v>322</v>
      </c>
      <c r="C22" s="86">
        <v>0</v>
      </c>
      <c r="D22" s="86"/>
      <c r="E22" s="192">
        <v>-137766.43216544381</v>
      </c>
      <c r="F22" s="96"/>
      <c r="G22" s="86">
        <f>I22-E22</f>
        <v>71395.527747746572</v>
      </c>
      <c r="H22" s="86"/>
      <c r="I22" s="86">
        <f>'FY19 Entries'!E23</f>
        <v>-66370.904417697238</v>
      </c>
    </row>
    <row r="23" spans="1:9">
      <c r="A23" s="83"/>
      <c r="B23" s="21" t="s">
        <v>178</v>
      </c>
      <c r="C23" s="86"/>
      <c r="D23" s="86"/>
      <c r="E23" s="192">
        <v>61170.990054188762</v>
      </c>
      <c r="F23" s="96"/>
      <c r="G23" s="86">
        <f t="shared" ref="G23:G24" si="2">I23-E23</f>
        <v>-23733.331876819539</v>
      </c>
      <c r="H23" s="86"/>
      <c r="I23" s="86">
        <f>'FY19 Entries'!F23</f>
        <v>37437.658177369223</v>
      </c>
    </row>
    <row r="24" spans="1:9">
      <c r="A24" s="83"/>
      <c r="B24" s="21" t="s">
        <v>177</v>
      </c>
      <c r="C24" s="87"/>
      <c r="D24" s="86"/>
      <c r="E24" s="192">
        <v>-1847.2272655966367</v>
      </c>
      <c r="F24" s="96"/>
      <c r="G24" s="86">
        <f t="shared" si="2"/>
        <v>-14839.14835109538</v>
      </c>
      <c r="H24" s="86"/>
      <c r="I24" s="86">
        <f>'FY19 Entries'!G23</f>
        <v>-16686.375616692018</v>
      </c>
    </row>
    <row r="25" spans="1:9">
      <c r="B25" s="21" t="s">
        <v>186</v>
      </c>
      <c r="C25" s="86">
        <v>0</v>
      </c>
      <c r="D25" s="86"/>
      <c r="E25" s="192"/>
      <c r="F25" s="96"/>
      <c r="G25" s="86">
        <f>-SUM(G22:G24)</f>
        <v>-32823.047519831656</v>
      </c>
      <c r="H25" s="86"/>
      <c r="I25" s="86"/>
    </row>
    <row r="26" spans="1:9">
      <c r="C26" s="86"/>
      <c r="D26" s="86"/>
      <c r="E26" s="97" t="s">
        <v>259</v>
      </c>
      <c r="F26" s="96"/>
      <c r="G26" s="86"/>
      <c r="H26" s="86"/>
      <c r="I26" s="86"/>
    </row>
    <row r="27" spans="1:9">
      <c r="A27" s="1"/>
      <c r="B27" s="1" t="str">
        <f>'FY19 Entries'!A24</f>
        <v>Sewer</v>
      </c>
      <c r="C27" s="86"/>
      <c r="D27" s="86"/>
      <c r="E27" s="192"/>
      <c r="F27" s="96"/>
      <c r="G27" s="86"/>
      <c r="H27" s="86"/>
      <c r="I27" s="86"/>
    </row>
    <row r="28" spans="1:9">
      <c r="B28" t="s">
        <v>322</v>
      </c>
      <c r="C28" s="86">
        <v>0</v>
      </c>
      <c r="D28" s="86"/>
      <c r="E28" s="192">
        <v>-41870.816484319323</v>
      </c>
      <c r="F28" s="96"/>
      <c r="G28" s="86">
        <f>I28-E28</f>
        <v>-2821.4749778855548</v>
      </c>
      <c r="H28" s="86"/>
      <c r="I28" s="86">
        <f>'FY19 Entries'!E24</f>
        <v>-44692.291462204877</v>
      </c>
    </row>
    <row r="29" spans="1:9">
      <c r="A29" s="83"/>
      <c r="B29" s="21" t="s">
        <v>178</v>
      </c>
      <c r="C29" s="86"/>
      <c r="D29" s="86"/>
      <c r="E29" s="192">
        <v>18591.461348488854</v>
      </c>
      <c r="F29" s="96"/>
      <c r="G29" s="86">
        <f t="shared" ref="G29:G30" si="3">I29-E29</f>
        <v>6617.9997189008682</v>
      </c>
      <c r="H29" s="86"/>
      <c r="I29" s="86">
        <f>'FY19 Entries'!F24</f>
        <v>25209.461067389722</v>
      </c>
    </row>
    <row r="30" spans="1:9">
      <c r="B30" s="21" t="s">
        <v>177</v>
      </c>
      <c r="C30" s="86">
        <v>0</v>
      </c>
      <c r="D30" s="86"/>
      <c r="E30" s="192">
        <v>-561.42060607147175</v>
      </c>
      <c r="F30" s="96"/>
      <c r="G30" s="86">
        <f t="shared" si="3"/>
        <v>-10674.713194603086</v>
      </c>
      <c r="H30" s="86"/>
      <c r="I30" s="86">
        <f>'FY19 Entries'!G24</f>
        <v>-11236.133800674557</v>
      </c>
    </row>
    <row r="31" spans="1:9">
      <c r="B31" s="21" t="s">
        <v>186</v>
      </c>
      <c r="C31" s="86"/>
      <c r="D31" s="86"/>
      <c r="F31" s="96"/>
      <c r="G31" s="86">
        <f>-SUM(G28:G30)</f>
        <v>6878.1884535877725</v>
      </c>
      <c r="H31" s="86"/>
      <c r="I31" s="86"/>
    </row>
    <row r="32" spans="1:9">
      <c r="E32" s="97" t="s">
        <v>259</v>
      </c>
    </row>
    <row r="33" spans="2:12">
      <c r="B33" s="1" t="str">
        <f>'FY19 Entries'!A25</f>
        <v>Water</v>
      </c>
      <c r="C33" s="86"/>
      <c r="D33" s="86"/>
      <c r="E33" s="86"/>
      <c r="F33" s="96"/>
      <c r="G33" s="86"/>
      <c r="H33" s="86"/>
      <c r="I33" s="86"/>
    </row>
    <row r="34" spans="2:12">
      <c r="B34" t="s">
        <v>322</v>
      </c>
      <c r="C34" s="86">
        <v>0</v>
      </c>
      <c r="D34" s="86"/>
      <c r="E34" s="192">
        <v>-64086.572007404458</v>
      </c>
      <c r="F34" s="96"/>
      <c r="G34" s="86">
        <f>I34-E34</f>
        <v>-4312.8543400593408</v>
      </c>
      <c r="H34" s="86"/>
      <c r="I34" s="86">
        <f>'FY19 Entries'!E25</f>
        <v>-68399.426347463799</v>
      </c>
    </row>
    <row r="35" spans="2:12">
      <c r="B35" s="21" t="s">
        <v>178</v>
      </c>
      <c r="C35" s="86"/>
      <c r="D35" s="86"/>
      <c r="E35" s="192">
        <v>28455.691254050711</v>
      </c>
      <c r="F35" s="96"/>
      <c r="G35" s="86">
        <f t="shared" ref="G35:G36" si="4">I35-E35</f>
        <v>10126.189851696268</v>
      </c>
      <c r="H35" s="86"/>
      <c r="I35" s="86">
        <f>'FY19 Entries'!F25</f>
        <v>38581.881105746979</v>
      </c>
    </row>
    <row r="36" spans="2:12">
      <c r="B36" s="21" t="s">
        <v>177</v>
      </c>
      <c r="C36" s="86">
        <v>0</v>
      </c>
      <c r="D36" s="86"/>
      <c r="E36" s="192">
        <v>-859.2983160697238</v>
      </c>
      <c r="F36" s="96"/>
      <c r="G36" s="86">
        <f t="shared" si="4"/>
        <v>-16337.070032584468</v>
      </c>
      <c r="H36" s="86"/>
      <c r="I36" s="86">
        <f>'FY19 Entries'!G25</f>
        <v>-17196.368348654192</v>
      </c>
    </row>
    <row r="37" spans="2:12">
      <c r="B37" s="21" t="s">
        <v>186</v>
      </c>
      <c r="C37" s="86"/>
      <c r="D37" s="86"/>
      <c r="E37" s="86"/>
      <c r="F37" s="96"/>
      <c r="G37" s="86">
        <f>-SUM(G34:G36)</f>
        <v>10523.734520947541</v>
      </c>
      <c r="H37" s="86"/>
      <c r="I37" s="86"/>
    </row>
    <row r="38" spans="2:12">
      <c r="E38" s="97" t="s">
        <v>259</v>
      </c>
    </row>
    <row r="39" spans="2:12">
      <c r="B39" s="1" t="str">
        <f>'FY19 Entries'!A26</f>
        <v>For additional enterprise funds</v>
      </c>
      <c r="C39" s="86"/>
      <c r="D39" s="86"/>
      <c r="E39" s="86"/>
      <c r="F39" s="96"/>
      <c r="G39" s="86"/>
      <c r="H39" s="86"/>
      <c r="I39" s="86"/>
    </row>
    <row r="40" spans="2:12">
      <c r="B40" t="s">
        <v>322</v>
      </c>
      <c r="C40" s="86">
        <v>0</v>
      </c>
      <c r="D40" s="86"/>
      <c r="E40" s="192">
        <v>0</v>
      </c>
      <c r="F40" s="96"/>
      <c r="G40" s="86">
        <f>I40-E40</f>
        <v>0</v>
      </c>
      <c r="H40" s="86"/>
      <c r="I40" s="86">
        <f>'FY19 Entries'!E26</f>
        <v>0</v>
      </c>
    </row>
    <row r="41" spans="2:12">
      <c r="B41" s="21" t="s">
        <v>178</v>
      </c>
      <c r="C41" s="86"/>
      <c r="D41" s="86"/>
      <c r="E41" s="192">
        <v>0</v>
      </c>
      <c r="F41" s="96"/>
      <c r="G41" s="86">
        <f t="shared" ref="G41:G42" si="5">I41-E41</f>
        <v>0</v>
      </c>
      <c r="H41" s="86"/>
      <c r="I41" s="86">
        <f>'FY19 Entries'!F26</f>
        <v>0</v>
      </c>
    </row>
    <row r="42" spans="2:12">
      <c r="B42" s="21" t="s">
        <v>177</v>
      </c>
      <c r="C42" s="86">
        <v>0</v>
      </c>
      <c r="D42" s="86"/>
      <c r="E42" s="192">
        <v>0</v>
      </c>
      <c r="F42" s="96"/>
      <c r="G42" s="86">
        <f t="shared" si="5"/>
        <v>0</v>
      </c>
      <c r="H42" s="86"/>
      <c r="I42" s="86">
        <f>'FY19 Entries'!G26</f>
        <v>0</v>
      </c>
    </row>
    <row r="43" spans="2:12" ht="19.5" customHeight="1">
      <c r="B43" s="21" t="s">
        <v>186</v>
      </c>
      <c r="C43" s="86"/>
      <c r="D43" s="86"/>
      <c r="E43" s="86"/>
      <c r="F43" s="96"/>
      <c r="G43" s="86">
        <f>-SUM(G40:G42)</f>
        <v>0</v>
      </c>
      <c r="H43" s="86"/>
      <c r="I43" s="86"/>
    </row>
    <row r="44" spans="2:12">
      <c r="E44" s="97" t="s">
        <v>259</v>
      </c>
    </row>
    <row r="45" spans="2:12">
      <c r="B45" s="1" t="s">
        <v>185</v>
      </c>
      <c r="J45" s="94"/>
    </row>
    <row r="46" spans="2:12">
      <c r="B46" t="s">
        <v>322</v>
      </c>
      <c r="E46" s="86">
        <f>E10+E16+E22+E28+E34+E40</f>
        <v>-1187763</v>
      </c>
      <c r="F46" s="97"/>
      <c r="G46" s="86">
        <f>G10+G16+G22+G28+G34+G40</f>
        <v>207786</v>
      </c>
      <c r="H46" s="92"/>
      <c r="I46" s="86">
        <f>I10+I16+I22+I28+I34+I40</f>
        <v>-979977</v>
      </c>
      <c r="K46" s="206">
        <f>I46-'FY19 Entries'!E48</f>
        <v>0</v>
      </c>
      <c r="L46" s="206">
        <f>E46+G46-I46</f>
        <v>0</v>
      </c>
    </row>
    <row r="47" spans="2:12" s="88" customFormat="1">
      <c r="B47" s="21" t="s">
        <v>178</v>
      </c>
      <c r="E47" s="86">
        <f>E11+E17+E23+E29+E35+E41</f>
        <v>527390.00000000012</v>
      </c>
      <c r="F47" s="98"/>
      <c r="G47" s="86">
        <f>G11+G17+G23+G29+G35+G41</f>
        <v>25382.999999999975</v>
      </c>
      <c r="H47" s="92"/>
      <c r="I47" s="86">
        <f>I11+I17+I23+I29+I35+I41</f>
        <v>552773</v>
      </c>
      <c r="J47" s="92"/>
      <c r="K47" s="206">
        <f>I47-'FY19 Entries'!F48</f>
        <v>0</v>
      </c>
      <c r="L47" s="206">
        <f t="shared" ref="L47:L48" si="6">E47+G47-I47</f>
        <v>0</v>
      </c>
    </row>
    <row r="48" spans="2:12">
      <c r="B48" s="21" t="s">
        <v>177</v>
      </c>
      <c r="E48" s="86">
        <f>E12+E18+E24+E30+E36+E42</f>
        <v>-15926.000000000002</v>
      </c>
      <c r="F48" s="97"/>
      <c r="G48" s="86">
        <f>G12+G18+G24+G30+G36+G42</f>
        <v>-230451</v>
      </c>
      <c r="H48" s="92"/>
      <c r="I48" s="86">
        <f>I12+I18+I24+I30+I36+I42</f>
        <v>-246376.99999999997</v>
      </c>
      <c r="K48" s="206">
        <f>I48-'FY19 Entries'!G48</f>
        <v>0</v>
      </c>
      <c r="L48" s="206">
        <f t="shared" si="6"/>
        <v>0</v>
      </c>
    </row>
    <row r="49" spans="2:11">
      <c r="B49" s="21" t="s">
        <v>186</v>
      </c>
      <c r="E49" s="88"/>
      <c r="F49" s="97"/>
      <c r="G49" s="86">
        <f>-SUM(G46:G48)</f>
        <v>-2717.9999999999709</v>
      </c>
      <c r="H49" s="92"/>
      <c r="I49" s="86"/>
      <c r="K49" s="206">
        <f>G49-'FY19 Entries'!M60</f>
        <v>2.9103830456733704E-11</v>
      </c>
    </row>
    <row r="50" spans="2:11">
      <c r="E50" s="97" t="s">
        <v>259</v>
      </c>
    </row>
    <row r="52" spans="2:11">
      <c r="B52" s="90" t="s">
        <v>188</v>
      </c>
    </row>
    <row r="53" spans="2:11">
      <c r="B53" t="str">
        <f>'FY19 Entries'!A10</f>
        <v>Gov't Fund-General Government</v>
      </c>
      <c r="I53" s="91">
        <f>$G$13*('FY19 Entries'!D10/SUM('FY19 Entries'!$D$10:$D$21))</f>
        <v>-26269.539174332724</v>
      </c>
    </row>
    <row r="54" spans="2:11">
      <c r="B54" t="str">
        <f>'FY19 Entries'!A11</f>
        <v>Gov't Fund-Highways and Streets</v>
      </c>
      <c r="I54" s="88">
        <f>$G$13*('FY19 Entries'!D11/SUM('FY19 Entries'!$D$10:$D$21))</f>
        <v>-1410.9304311926792</v>
      </c>
    </row>
    <row r="55" spans="2:11">
      <c r="B55" t="str">
        <f>'FY19 Entries'!A12</f>
        <v>For additional governmental funds</v>
      </c>
      <c r="I55" s="88">
        <f>$G$13*('FY19 Entries'!D12/SUM('FY19 Entries'!$D$10:$D$21))</f>
        <v>0</v>
      </c>
    </row>
    <row r="56" spans="2:11">
      <c r="B56" t="str">
        <f>'FY19 Entries'!A13</f>
        <v>For additional governmental funds</v>
      </c>
      <c r="I56" s="88">
        <f>$G$13*('FY19 Entries'!D13/SUM('FY19 Entries'!$D$10:$D$21))</f>
        <v>0</v>
      </c>
    </row>
    <row r="57" spans="2:11">
      <c r="B57" t="str">
        <f>'FY19 Entries'!A14</f>
        <v>For additional governmental funds</v>
      </c>
      <c r="I57" s="88">
        <f>$G$13*('FY19 Entries'!D14/SUM('FY19 Entries'!$D$10:$D$21))</f>
        <v>0</v>
      </c>
    </row>
    <row r="58" spans="2:11" hidden="1">
      <c r="B58" t="str">
        <f>'FY19 Entries'!A15</f>
        <v>For additional governmental funds</v>
      </c>
      <c r="I58" s="88">
        <f>$G$13*('FY19 Entries'!D15/SUM('FY19 Entries'!$D$10:$D$21))</f>
        <v>0</v>
      </c>
    </row>
    <row r="59" spans="2:11" hidden="1">
      <c r="B59" t="str">
        <f>'FY19 Entries'!A16</f>
        <v>For additional governmental funds</v>
      </c>
      <c r="I59" s="88">
        <f>$G$13*('FY19 Entries'!D16/SUM('FY19 Entries'!$D$10:$D$21))</f>
        <v>0</v>
      </c>
    </row>
    <row r="60" spans="2:11" hidden="1">
      <c r="B60" t="str">
        <f>'FY19 Entries'!A17</f>
        <v>For additional governmental funds</v>
      </c>
      <c r="I60" s="88">
        <f>$G$13*('FY19 Entries'!D17/SUM('FY19 Entries'!$D$10:$D$21))</f>
        <v>0</v>
      </c>
    </row>
    <row r="61" spans="2:11" hidden="1">
      <c r="B61" t="str">
        <f>'FY19 Entries'!A18</f>
        <v>For additional governmental funds</v>
      </c>
      <c r="I61" s="88">
        <f>$G$13*('FY19 Entries'!D18/SUM('FY19 Entries'!$D$10:$D$21))</f>
        <v>0</v>
      </c>
    </row>
    <row r="62" spans="2:11" hidden="1">
      <c r="B62" t="str">
        <f>'FY19 Entries'!A19</f>
        <v>For additional governmental funds</v>
      </c>
      <c r="I62" s="88">
        <f>$G$13*('FY19 Entries'!D19/SUM('FY19 Entries'!$D$10:$D$21))</f>
        <v>0</v>
      </c>
    </row>
    <row r="63" spans="2:11" hidden="1">
      <c r="B63" t="str">
        <f>'FY19 Entries'!A20</f>
        <v>For additional governmental funds</v>
      </c>
      <c r="I63" s="88">
        <f>$G$13*('FY19 Entries'!D20/SUM('FY19 Entries'!$D$10:$D$21))</f>
        <v>0</v>
      </c>
    </row>
    <row r="64" spans="2:11" hidden="1">
      <c r="B64" t="str">
        <f>'FY19 Entries'!A21</f>
        <v>For additional governmental funds</v>
      </c>
      <c r="I64" s="88">
        <f>$G$13*('FY19 Entries'!D21/SUM('FY19 Entries'!$D$10:$D$21))</f>
        <v>0</v>
      </c>
    </row>
    <row r="65" spans="7:9" ht="15" thickBot="1">
      <c r="I65" s="239">
        <f>SUM(I53:I59)</f>
        <v>-27680.469605525403</v>
      </c>
    </row>
    <row r="66" spans="7:9" ht="15" thickTop="1"/>
    <row r="67" spans="7:9">
      <c r="G67" s="99">
        <f>SUM(G10:G49)</f>
        <v>0</v>
      </c>
      <c r="I67" s="99">
        <f>I65-G13</f>
        <v>0</v>
      </c>
    </row>
    <row r="70" spans="7:9">
      <c r="G70" s="86"/>
    </row>
  </sheetData>
  <mergeCells count="3">
    <mergeCell ref="A3:B3"/>
    <mergeCell ref="C3:D3"/>
    <mergeCell ref="E3:F3"/>
  </mergeCells>
  <pageMargins left="0.7" right="0.7" top="0.75" bottom="0.75" header="0.3" footer="0.3"/>
  <pageSetup scale="78"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45"/>
  <sheetViews>
    <sheetView workbookViewId="0">
      <selection activeCell="B180" sqref="B180"/>
    </sheetView>
  </sheetViews>
  <sheetFormatPr defaultColWidth="9.109375" defaultRowHeight="14.4"/>
  <cols>
    <col min="1" max="1" width="36.5546875" style="103" customWidth="1"/>
    <col min="2" max="2" width="18" style="103" customWidth="1"/>
    <col min="3" max="3" width="3.6640625" style="103" customWidth="1"/>
    <col min="4" max="4" width="16.33203125" style="103" customWidth="1"/>
    <col min="5" max="5" width="9.109375" style="103"/>
    <col min="6" max="6" width="19.44140625" customWidth="1"/>
    <col min="7" max="7" width="10.5546875" customWidth="1"/>
    <col min="9" max="9" width="19" bestFit="1" customWidth="1"/>
    <col min="10" max="10" width="3.6640625" customWidth="1"/>
    <col min="11" max="11" width="18.88671875" customWidth="1"/>
    <col min="12" max="12" width="3.6640625" customWidth="1"/>
    <col min="13" max="13" width="19" customWidth="1"/>
  </cols>
  <sheetData>
    <row r="1" spans="1:16">
      <c r="A1" s="112" t="s">
        <v>63</v>
      </c>
      <c r="B1" s="387">
        <v>42735</v>
      </c>
      <c r="C1" s="388"/>
      <c r="D1" s="389"/>
      <c r="E1" s="100"/>
      <c r="G1" s="72" t="s">
        <v>393</v>
      </c>
      <c r="H1" s="72"/>
      <c r="I1" s="72"/>
      <c r="J1" s="72"/>
      <c r="K1" s="72"/>
      <c r="L1" s="72"/>
      <c r="M1" s="72"/>
      <c r="N1" s="72"/>
      <c r="O1" s="72"/>
      <c r="P1" s="72"/>
    </row>
    <row r="2" spans="1:16">
      <c r="A2" s="112" t="s">
        <v>250</v>
      </c>
      <c r="B2" s="387">
        <v>43281</v>
      </c>
      <c r="C2" s="388"/>
      <c r="D2" s="389"/>
      <c r="E2" s="100"/>
      <c r="G2" s="76" t="s">
        <v>391</v>
      </c>
      <c r="H2" s="72"/>
      <c r="I2" s="72"/>
      <c r="J2" s="72"/>
      <c r="K2" s="72"/>
      <c r="L2" s="72"/>
      <c r="M2" s="72"/>
      <c r="N2" s="72"/>
      <c r="O2" s="72"/>
      <c r="P2" s="72"/>
    </row>
    <row r="3" spans="1:16">
      <c r="A3" s="112" t="s">
        <v>64</v>
      </c>
      <c r="B3" s="390" t="s">
        <v>392</v>
      </c>
      <c r="C3" s="390"/>
      <c r="D3" s="390"/>
      <c r="E3" s="100"/>
    </row>
    <row r="4" spans="1:16">
      <c r="A4" s="112" t="s">
        <v>65</v>
      </c>
      <c r="B4" s="390" t="s">
        <v>66</v>
      </c>
      <c r="C4" s="390"/>
      <c r="D4" s="390"/>
      <c r="E4" s="100"/>
    </row>
    <row r="5" spans="1:16">
      <c r="A5" s="113" t="s">
        <v>67</v>
      </c>
      <c r="B5" s="326"/>
      <c r="C5" s="326"/>
      <c r="D5" s="327"/>
      <c r="E5" s="100"/>
    </row>
    <row r="6" spans="1:16">
      <c r="A6" s="114" t="s">
        <v>68</v>
      </c>
      <c r="B6" s="386" t="s">
        <v>306</v>
      </c>
      <c r="C6" s="386"/>
      <c r="D6" s="386"/>
      <c r="E6" s="100"/>
    </row>
    <row r="7" spans="1:16" s="21" customFormat="1">
      <c r="A7" s="194" t="s">
        <v>247</v>
      </c>
      <c r="B7" s="195" t="s">
        <v>394</v>
      </c>
      <c r="C7" s="326"/>
      <c r="D7" s="327"/>
      <c r="E7" s="328"/>
    </row>
    <row r="8" spans="1:16">
      <c r="A8" s="115" t="s">
        <v>248</v>
      </c>
      <c r="B8" s="367" t="s">
        <v>394</v>
      </c>
      <c r="C8" s="367"/>
      <c r="D8" s="367"/>
      <c r="E8" s="100"/>
    </row>
    <row r="9" spans="1:16">
      <c r="A9" s="114" t="s">
        <v>69</v>
      </c>
      <c r="B9" s="368" t="s">
        <v>308</v>
      </c>
      <c r="C9" s="369"/>
      <c r="D9" s="370"/>
      <c r="E9" s="100"/>
    </row>
    <row r="10" spans="1:16" ht="42.6" customHeight="1">
      <c r="A10" s="116" t="s">
        <v>249</v>
      </c>
      <c r="B10" s="383" t="s">
        <v>309</v>
      </c>
      <c r="C10" s="384"/>
      <c r="D10" s="385"/>
      <c r="E10" s="100"/>
    </row>
    <row r="11" spans="1:16">
      <c r="A11" s="116" t="s">
        <v>70</v>
      </c>
      <c r="B11" s="371" t="s">
        <v>395</v>
      </c>
      <c r="C11" s="372"/>
      <c r="D11" s="373"/>
      <c r="E11" s="100"/>
    </row>
    <row r="12" spans="1:16">
      <c r="A12" s="117"/>
      <c r="B12" s="374"/>
      <c r="C12" s="375"/>
      <c r="D12" s="376"/>
      <c r="E12" s="100"/>
    </row>
    <row r="13" spans="1:16" ht="12.6" customHeight="1">
      <c r="A13" s="118"/>
      <c r="B13" s="374"/>
      <c r="C13" s="375"/>
      <c r="D13" s="376"/>
      <c r="E13" s="100"/>
    </row>
    <row r="14" spans="1:16" ht="36.75" customHeight="1">
      <c r="A14" s="118"/>
      <c r="B14" s="374"/>
      <c r="C14" s="375"/>
      <c r="D14" s="376"/>
      <c r="E14" s="100"/>
    </row>
    <row r="15" spans="1:16">
      <c r="A15" s="118"/>
      <c r="B15" s="377" t="s">
        <v>396</v>
      </c>
      <c r="C15" s="378"/>
      <c r="D15" s="379"/>
      <c r="E15" s="100"/>
    </row>
    <row r="16" spans="1:16">
      <c r="A16" s="118"/>
      <c r="B16" s="374"/>
      <c r="C16" s="375"/>
      <c r="D16" s="376"/>
      <c r="E16" s="100"/>
    </row>
    <row r="17" spans="1:6" ht="13.95" customHeight="1">
      <c r="A17" s="118"/>
      <c r="B17" s="374"/>
      <c r="C17" s="375"/>
      <c r="D17" s="376"/>
      <c r="E17" s="100"/>
    </row>
    <row r="18" spans="1:6" ht="19.5" customHeight="1">
      <c r="A18" s="118"/>
      <c r="B18" s="374"/>
      <c r="C18" s="375"/>
      <c r="D18" s="376"/>
      <c r="E18" s="100"/>
    </row>
    <row r="19" spans="1:6">
      <c r="A19" s="118"/>
      <c r="B19" s="377" t="s">
        <v>397</v>
      </c>
      <c r="C19" s="378"/>
      <c r="D19" s="379"/>
      <c r="E19" s="100"/>
    </row>
    <row r="20" spans="1:6">
      <c r="A20" s="118"/>
      <c r="B20" s="374"/>
      <c r="C20" s="375"/>
      <c r="D20" s="376"/>
      <c r="E20" s="100"/>
    </row>
    <row r="21" spans="1:6">
      <c r="A21" s="118"/>
      <c r="B21" s="374"/>
      <c r="C21" s="375"/>
      <c r="D21" s="376"/>
      <c r="E21" s="100"/>
    </row>
    <row r="22" spans="1:6" ht="3.75" customHeight="1">
      <c r="A22" s="119"/>
      <c r="B22" s="380"/>
      <c r="C22" s="381"/>
      <c r="D22" s="382"/>
      <c r="E22" s="100"/>
    </row>
    <row r="23" spans="1:6" ht="30" hidden="1" customHeight="1">
      <c r="A23" s="364" t="s">
        <v>310</v>
      </c>
      <c r="B23" s="365"/>
      <c r="C23" s="365"/>
      <c r="D23" s="366"/>
      <c r="E23" s="100"/>
    </row>
    <row r="24" spans="1:6" ht="10.5" customHeight="1">
      <c r="A24" s="100"/>
      <c r="B24" s="100"/>
      <c r="C24" s="100"/>
      <c r="D24" s="100"/>
      <c r="E24" s="100"/>
      <c r="F24" s="21"/>
    </row>
    <row r="29" spans="1:6" ht="15" customHeight="1"/>
    <row r="45" ht="15" customHeight="1"/>
  </sheetData>
  <mergeCells count="12">
    <mergeCell ref="B6:D6"/>
    <mergeCell ref="B1:D1"/>
    <mergeCell ref="B3:D3"/>
    <mergeCell ref="B4:D4"/>
    <mergeCell ref="B2:D2"/>
    <mergeCell ref="A23:D23"/>
    <mergeCell ref="B8:D8"/>
    <mergeCell ref="B9:D9"/>
    <mergeCell ref="B11:D14"/>
    <mergeCell ref="B15:D18"/>
    <mergeCell ref="B19:D22"/>
    <mergeCell ref="B10:D10"/>
  </mergeCells>
  <hyperlinks>
    <hyperlink ref="G2" r:id="rId1" xr:uid="{96F0EA2F-B68D-40DA-8D43-BA8BBED64579}"/>
  </hyperlinks>
  <pageMargins left="0.7" right="0.7" top="0.75" bottom="0.75" header="0.3" footer="0.3"/>
  <pageSetup orientation="portrait" horizontalDpi="300" verticalDpi="300"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26"/>
  <sheetViews>
    <sheetView workbookViewId="0">
      <selection activeCell="P26" sqref="P26"/>
    </sheetView>
  </sheetViews>
  <sheetFormatPr defaultColWidth="9.109375" defaultRowHeight="14.4"/>
  <cols>
    <col min="1" max="1" width="18" customWidth="1"/>
    <col min="2" max="2" width="1.6640625" customWidth="1"/>
    <col min="3" max="3" width="11.109375" customWidth="1"/>
    <col min="4" max="4" width="1.6640625" customWidth="1"/>
    <col min="5" max="5" width="11.109375" customWidth="1"/>
    <col min="6" max="6" width="1.6640625" customWidth="1"/>
    <col min="7" max="7" width="11.109375" customWidth="1"/>
    <col min="9" max="9" width="30.33203125" style="103" customWidth="1"/>
    <col min="10" max="10" width="3.6640625" style="103" customWidth="1"/>
    <col min="11" max="11" width="18.88671875" style="103" customWidth="1"/>
    <col min="12" max="12" width="3.6640625" style="103" customWidth="1"/>
    <col min="13" max="13" width="19" style="103" customWidth="1"/>
    <col min="14" max="14" width="9.109375" style="103"/>
  </cols>
  <sheetData>
    <row r="1" spans="1:28" ht="45" customHeight="1">
      <c r="I1" s="101" t="s">
        <v>71</v>
      </c>
      <c r="J1" s="102"/>
      <c r="K1" s="101" t="s">
        <v>72</v>
      </c>
      <c r="L1" s="102"/>
      <c r="M1" s="101" t="s">
        <v>73</v>
      </c>
      <c r="N1" s="111"/>
      <c r="Q1" s="72" t="s">
        <v>407</v>
      </c>
      <c r="R1" s="72"/>
      <c r="S1" s="72"/>
      <c r="T1" s="72"/>
      <c r="U1" s="72"/>
      <c r="V1" s="72"/>
      <c r="W1" s="72"/>
      <c r="X1" s="72"/>
      <c r="Y1" s="72"/>
      <c r="Z1" s="72"/>
      <c r="AA1" s="72"/>
      <c r="AB1" s="72"/>
    </row>
    <row r="2" spans="1:28">
      <c r="A2" s="100"/>
      <c r="B2" s="100"/>
      <c r="C2" s="359" t="s">
        <v>276</v>
      </c>
      <c r="D2" s="359"/>
      <c r="E2" s="359"/>
      <c r="F2" s="359"/>
      <c r="G2" s="359"/>
      <c r="I2" s="100"/>
      <c r="J2" s="100"/>
      <c r="K2" s="100"/>
      <c r="L2" s="100"/>
      <c r="M2" s="100"/>
      <c r="Q2" s="72" t="s">
        <v>398</v>
      </c>
      <c r="R2" s="72"/>
      <c r="S2" s="72"/>
      <c r="T2" s="72"/>
      <c r="U2" s="72"/>
      <c r="V2" s="72"/>
      <c r="W2" s="72"/>
      <c r="X2" s="72"/>
      <c r="Y2" s="72"/>
      <c r="Z2" s="72"/>
      <c r="AA2" s="72"/>
      <c r="AB2" s="72"/>
    </row>
    <row r="3" spans="1:28">
      <c r="A3" s="331" t="s">
        <v>277</v>
      </c>
      <c r="B3" s="100"/>
      <c r="C3" s="325" t="s">
        <v>278</v>
      </c>
      <c r="D3" s="110"/>
      <c r="E3" s="325" t="s">
        <v>279</v>
      </c>
      <c r="F3" s="110"/>
      <c r="G3" s="325" t="s">
        <v>280</v>
      </c>
      <c r="I3" s="100" t="s">
        <v>74</v>
      </c>
      <c r="J3" s="100"/>
      <c r="K3" s="120">
        <v>0.08</v>
      </c>
      <c r="L3" s="110"/>
      <c r="M3" s="120">
        <v>3.49E-2</v>
      </c>
      <c r="Q3" s="284" t="s">
        <v>391</v>
      </c>
      <c r="R3" s="72"/>
      <c r="S3" s="72"/>
      <c r="T3" s="72"/>
      <c r="U3" s="72"/>
      <c r="V3" s="72"/>
      <c r="W3" s="72"/>
      <c r="X3" s="72"/>
    </row>
    <row r="4" spans="1:28">
      <c r="A4" s="100" t="s">
        <v>281</v>
      </c>
      <c r="B4" s="100"/>
      <c r="C4" s="332">
        <v>0</v>
      </c>
      <c r="D4" s="333"/>
      <c r="E4" s="332">
        <v>0.03</v>
      </c>
      <c r="F4" s="333"/>
      <c r="G4" s="332">
        <v>0</v>
      </c>
      <c r="I4" s="100" t="s">
        <v>75</v>
      </c>
      <c r="J4" s="100"/>
      <c r="K4" s="120">
        <v>0.08</v>
      </c>
      <c r="L4" s="110"/>
      <c r="M4" s="120">
        <v>3.4200000000000001E-2</v>
      </c>
    </row>
    <row r="5" spans="1:28">
      <c r="A5" s="100" t="s">
        <v>282</v>
      </c>
      <c r="B5" s="100"/>
      <c r="C5" s="333">
        <v>0.15</v>
      </c>
      <c r="D5" s="333"/>
      <c r="E5" s="333">
        <v>0.25</v>
      </c>
      <c r="F5" s="333"/>
      <c r="G5" s="333">
        <v>0.2</v>
      </c>
      <c r="I5" s="100" t="s">
        <v>311</v>
      </c>
      <c r="J5" s="100"/>
      <c r="K5" s="120">
        <v>0.03</v>
      </c>
      <c r="L5" s="110"/>
      <c r="M5" s="120">
        <v>5.0900000000000001E-2</v>
      </c>
    </row>
    <row r="6" spans="1:28" ht="15" customHeight="1">
      <c r="A6" s="100" t="s">
        <v>283</v>
      </c>
      <c r="B6" s="100"/>
      <c r="C6" s="333">
        <v>0.32500000000000001</v>
      </c>
      <c r="D6" s="333"/>
      <c r="E6" s="333">
        <v>0.42499999999999999</v>
      </c>
      <c r="F6" s="333"/>
      <c r="G6" s="333">
        <v>0.375</v>
      </c>
      <c r="I6" s="100" t="s">
        <v>76</v>
      </c>
      <c r="J6" s="100"/>
      <c r="K6" s="120">
        <v>0.01</v>
      </c>
      <c r="L6" s="110"/>
      <c r="M6" s="120">
        <v>6.4500000000000002E-2</v>
      </c>
    </row>
    <row r="7" spans="1:28">
      <c r="A7" s="100" t="s">
        <v>284</v>
      </c>
      <c r="B7" s="100"/>
      <c r="C7" s="333">
        <v>0.13500000000000001</v>
      </c>
      <c r="D7" s="333"/>
      <c r="E7" s="333">
        <v>0.215</v>
      </c>
      <c r="F7" s="333"/>
      <c r="G7" s="333">
        <v>0.17499999999999999</v>
      </c>
      <c r="I7" s="100" t="s">
        <v>312</v>
      </c>
      <c r="J7" s="100"/>
      <c r="K7" s="120">
        <v>0.1575</v>
      </c>
      <c r="L7" s="110"/>
      <c r="M7" s="120">
        <v>6.3E-2</v>
      </c>
    </row>
    <row r="8" spans="1:28">
      <c r="A8" s="100" t="s">
        <v>285</v>
      </c>
      <c r="B8" s="100"/>
      <c r="C8" s="333">
        <v>9.5000000000000001E-2</v>
      </c>
      <c r="D8" s="333"/>
      <c r="E8" s="333">
        <v>0.155</v>
      </c>
      <c r="F8" s="333"/>
      <c r="G8" s="333">
        <v>0.125</v>
      </c>
      <c r="I8" s="100" t="s">
        <v>77</v>
      </c>
      <c r="J8" s="100"/>
      <c r="K8" s="120">
        <v>1.2999999999999999E-2</v>
      </c>
      <c r="L8" s="110"/>
      <c r="M8" s="120">
        <v>6.6900000000000001E-2</v>
      </c>
    </row>
    <row r="9" spans="1:28">
      <c r="A9" s="100" t="s">
        <v>286</v>
      </c>
      <c r="B9" s="100"/>
      <c r="C9" s="333">
        <v>0</v>
      </c>
      <c r="D9" s="333"/>
      <c r="E9" s="333">
        <v>0.125</v>
      </c>
      <c r="F9" s="333"/>
      <c r="G9" s="333">
        <v>0.125</v>
      </c>
      <c r="I9" s="100" t="s">
        <v>313</v>
      </c>
      <c r="J9" s="100"/>
      <c r="K9" s="120">
        <v>1.2999999999999999E-2</v>
      </c>
      <c r="L9" s="110"/>
      <c r="M9" s="120">
        <v>6.8000000000000005E-2</v>
      </c>
    </row>
    <row r="10" spans="1:28">
      <c r="A10" s="100" t="s">
        <v>287</v>
      </c>
      <c r="B10" s="100"/>
      <c r="C10" s="333">
        <v>0</v>
      </c>
      <c r="D10" s="333"/>
      <c r="E10" s="333">
        <v>0.03</v>
      </c>
      <c r="F10" s="333"/>
      <c r="G10" s="333">
        <v>0</v>
      </c>
      <c r="I10" s="100" t="s">
        <v>78</v>
      </c>
      <c r="J10" s="100"/>
      <c r="K10" s="120">
        <v>0.1313</v>
      </c>
      <c r="L10" s="110"/>
      <c r="M10" s="120">
        <v>6.7100000000000007E-2</v>
      </c>
    </row>
    <row r="11" spans="1:28" ht="15" thickBot="1">
      <c r="A11" s="100" t="s">
        <v>62</v>
      </c>
      <c r="B11" s="100"/>
      <c r="C11" s="333"/>
      <c r="D11" s="333"/>
      <c r="E11" s="333"/>
      <c r="F11" s="333"/>
      <c r="G11" s="334">
        <f>SUM(G4:G10)</f>
        <v>1</v>
      </c>
      <c r="I11" s="100" t="s">
        <v>79</v>
      </c>
      <c r="J11" s="100"/>
      <c r="K11" s="120">
        <v>4.1200000000000001E-2</v>
      </c>
      <c r="L11" s="110"/>
      <c r="M11" s="120">
        <v>7.4499999999999997E-2</v>
      </c>
    </row>
    <row r="12" spans="1:28" ht="15" thickTop="1">
      <c r="A12" s="100"/>
      <c r="B12" s="100"/>
      <c r="C12" s="100"/>
      <c r="D12" s="100"/>
      <c r="E12" s="100"/>
      <c r="F12" s="100"/>
      <c r="G12" s="100"/>
      <c r="I12" s="100" t="s">
        <v>314</v>
      </c>
      <c r="J12" s="100"/>
      <c r="K12" s="120">
        <v>1.8800000000000001E-2</v>
      </c>
      <c r="L12" s="110"/>
      <c r="M12" s="120">
        <v>7.0099999999999996E-2</v>
      </c>
    </row>
    <row r="13" spans="1:28">
      <c r="I13" s="100" t="s">
        <v>80</v>
      </c>
      <c r="J13" s="100"/>
      <c r="K13" s="120">
        <v>0.17499999999999999</v>
      </c>
      <c r="L13" s="110"/>
      <c r="M13" s="120">
        <v>7.8200000000000006E-2</v>
      </c>
    </row>
    <row r="14" spans="1:28">
      <c r="I14" s="100" t="s">
        <v>81</v>
      </c>
      <c r="J14" s="100"/>
      <c r="K14" s="120">
        <v>0.1</v>
      </c>
      <c r="L14" s="110"/>
      <c r="M14" s="120">
        <v>5.5100000000000003E-2</v>
      </c>
    </row>
    <row r="15" spans="1:28">
      <c r="I15" s="100" t="s">
        <v>82</v>
      </c>
      <c r="J15" s="100"/>
      <c r="K15" s="120">
        <v>2.5000000000000001E-2</v>
      </c>
      <c r="L15" s="110"/>
      <c r="M15" s="120">
        <v>6.3700000000000007E-2</v>
      </c>
    </row>
    <row r="16" spans="1:28">
      <c r="I16" s="100" t="s">
        <v>315</v>
      </c>
      <c r="J16" s="100"/>
      <c r="K16" s="120">
        <v>2.5000000000000001E-2</v>
      </c>
      <c r="L16" s="110"/>
      <c r="M16" s="120">
        <v>4.0899999999999999E-2</v>
      </c>
    </row>
    <row r="17" spans="9:13">
      <c r="I17" s="100" t="s">
        <v>316</v>
      </c>
      <c r="J17" s="100"/>
      <c r="K17" s="120">
        <v>6.3E-3</v>
      </c>
      <c r="L17" s="110"/>
      <c r="M17" s="120">
        <v>5.8599999999999999E-2</v>
      </c>
    </row>
    <row r="18" spans="9:13">
      <c r="I18" s="100" t="s">
        <v>317</v>
      </c>
      <c r="J18" s="100"/>
      <c r="K18" s="120">
        <v>1.8800000000000001E-2</v>
      </c>
      <c r="L18" s="110"/>
      <c r="M18" s="120">
        <v>5.62E-2</v>
      </c>
    </row>
    <row r="19" spans="9:13">
      <c r="I19" s="100" t="s">
        <v>318</v>
      </c>
      <c r="J19" s="100"/>
      <c r="K19" s="120">
        <v>1.8800000000000001E-2</v>
      </c>
      <c r="L19" s="110"/>
      <c r="M19" s="120">
        <v>6.1499999999999999E-2</v>
      </c>
    </row>
    <row r="20" spans="9:13">
      <c r="I20" s="100" t="s">
        <v>319</v>
      </c>
      <c r="J20" s="100"/>
      <c r="K20" s="120">
        <v>3.7499999999999999E-2</v>
      </c>
      <c r="L20" s="110"/>
      <c r="M20" s="120">
        <v>6.6000000000000003E-2</v>
      </c>
    </row>
    <row r="21" spans="9:13">
      <c r="I21" s="100" t="s">
        <v>83</v>
      </c>
      <c r="J21" s="100"/>
      <c r="K21" s="120">
        <v>1.8800000000000001E-2</v>
      </c>
      <c r="L21" s="110"/>
      <c r="M21" s="120">
        <v>3.8399999999999997E-2</v>
      </c>
    </row>
    <row r="22" spans="9:13">
      <c r="I22" s="100"/>
      <c r="J22" s="100"/>
      <c r="K22" s="121"/>
      <c r="L22" s="110"/>
      <c r="M22" s="120"/>
    </row>
    <row r="23" spans="9:13" ht="15" thickBot="1">
      <c r="I23" s="122" t="s">
        <v>62</v>
      </c>
      <c r="J23" s="100"/>
      <c r="K23" s="335">
        <f>SUM(K3:K21)</f>
        <v>1</v>
      </c>
      <c r="L23" s="110"/>
      <c r="M23" s="110"/>
    </row>
    <row r="24" spans="9:13" ht="15" thickTop="1">
      <c r="I24" s="100"/>
      <c r="J24" s="100"/>
      <c r="K24" s="100"/>
      <c r="L24" s="100"/>
      <c r="M24" s="100"/>
    </row>
    <row r="25" spans="9:13">
      <c r="I25" s="100" t="s">
        <v>84</v>
      </c>
      <c r="J25" s="100"/>
      <c r="K25" s="100"/>
      <c r="L25" s="100"/>
      <c r="M25" s="120">
        <v>2.5000000000000001E-2</v>
      </c>
    </row>
    <row r="26" spans="9:13">
      <c r="I26" s="100"/>
      <c r="J26" s="100"/>
      <c r="K26" s="100"/>
      <c r="L26" s="100"/>
      <c r="M26" s="100"/>
    </row>
  </sheetData>
  <mergeCells count="1">
    <mergeCell ref="C2:G2"/>
  </mergeCells>
  <hyperlinks>
    <hyperlink ref="Q3" r:id="rId1" xr:uid="{05A112BE-3FEB-48B9-8995-195A7287E075}"/>
  </hyperlinks>
  <pageMargins left="0.7" right="0.7" top="0.75" bottom="0.75" header="0.3" footer="0.3"/>
  <pageSetup orientation="portrait" horizontalDpi="300" verticalDpi="300"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H13"/>
  <sheetViews>
    <sheetView workbookViewId="0"/>
  </sheetViews>
  <sheetFormatPr defaultColWidth="9.109375" defaultRowHeight="14.4"/>
  <cols>
    <col min="1" max="1" width="44.33203125" customWidth="1"/>
    <col min="2" max="2" width="1.44140625" customWidth="1"/>
    <col min="3" max="3" width="19" bestFit="1" customWidth="1"/>
    <col min="4" max="4" width="1.44140625" customWidth="1"/>
    <col min="5" max="5" width="18.88671875" customWidth="1"/>
    <col min="6" max="6" width="1.44140625" customWidth="1"/>
    <col min="7" max="7" width="17.109375" customWidth="1"/>
  </cols>
  <sheetData>
    <row r="1" spans="1:8" ht="28.2">
      <c r="A1" s="177"/>
      <c r="B1" s="177"/>
      <c r="C1" s="178" t="s">
        <v>170</v>
      </c>
      <c r="D1" s="179"/>
      <c r="E1" s="178" t="s">
        <v>171</v>
      </c>
      <c r="F1" s="179"/>
      <c r="G1" s="180" t="s">
        <v>62</v>
      </c>
      <c r="H1" s="103"/>
    </row>
    <row r="2" spans="1:8">
      <c r="A2" s="391" t="s">
        <v>174</v>
      </c>
      <c r="B2" s="177"/>
      <c r="C2" s="177"/>
      <c r="D2" s="177"/>
      <c r="E2" s="177"/>
      <c r="F2" s="177"/>
      <c r="G2" s="177"/>
      <c r="H2" s="103"/>
    </row>
    <row r="3" spans="1:8">
      <c r="A3" s="391"/>
      <c r="B3" s="177"/>
      <c r="C3" s="181" t="e">
        <f>-#REF!</f>
        <v>#REF!</v>
      </c>
      <c r="D3" s="182"/>
      <c r="E3" s="181" t="e">
        <f>-#REF!</f>
        <v>#REF!</v>
      </c>
      <c r="F3" s="182"/>
      <c r="G3" s="181" t="e">
        <f>SUM(C3:E3)</f>
        <v>#REF!</v>
      </c>
      <c r="H3" s="103"/>
    </row>
    <row r="4" spans="1:8">
      <c r="A4" s="177" t="s">
        <v>172</v>
      </c>
      <c r="B4" s="177"/>
      <c r="C4" s="183" t="e">
        <f>#REF!</f>
        <v>#REF!</v>
      </c>
      <c r="D4" s="183"/>
      <c r="E4" s="183" t="e">
        <f>#REF!</f>
        <v>#REF!</v>
      </c>
      <c r="F4" s="183"/>
      <c r="G4" s="183" t="e">
        <f>SUM(C4:E4)</f>
        <v>#REF!</v>
      </c>
      <c r="H4" s="103"/>
    </row>
    <row r="5" spans="1:8">
      <c r="A5" s="391" t="s">
        <v>173</v>
      </c>
      <c r="B5" s="177"/>
      <c r="C5" s="184"/>
      <c r="D5" s="182"/>
      <c r="E5" s="184"/>
      <c r="F5" s="182"/>
      <c r="G5" s="184"/>
      <c r="H5" s="103"/>
    </row>
    <row r="6" spans="1:8" ht="15" thickBot="1">
      <c r="A6" s="391"/>
      <c r="B6" s="177"/>
      <c r="C6" s="185" t="e">
        <f>SUM(C3:C5)</f>
        <v>#REF!</v>
      </c>
      <c r="D6" s="182"/>
      <c r="E6" s="185" t="e">
        <f>SUM(E3:E5)</f>
        <v>#REF!</v>
      </c>
      <c r="F6" s="182"/>
      <c r="G6" s="185" t="e">
        <f>SUM(G3:G5)</f>
        <v>#REF!</v>
      </c>
      <c r="H6" s="103"/>
    </row>
    <row r="7" spans="1:8" ht="15" thickTop="1">
      <c r="A7" s="177"/>
      <c r="B7" s="177"/>
      <c r="C7" s="177"/>
      <c r="D7" s="177"/>
      <c r="E7" s="177"/>
      <c r="F7" s="177"/>
      <c r="G7" s="177"/>
      <c r="H7" s="103"/>
    </row>
    <row r="8" spans="1:8">
      <c r="A8" s="177"/>
      <c r="B8" s="177"/>
      <c r="C8" s="177"/>
      <c r="D8" s="177"/>
      <c r="E8" s="177"/>
      <c r="F8" s="177"/>
      <c r="G8" s="177"/>
      <c r="H8" s="103"/>
    </row>
    <row r="9" spans="1:8">
      <c r="A9" s="72"/>
      <c r="B9" s="72"/>
      <c r="C9" s="72"/>
      <c r="D9" s="72"/>
      <c r="E9" s="72"/>
      <c r="F9" s="72"/>
      <c r="G9" s="72"/>
    </row>
    <row r="10" spans="1:8">
      <c r="A10" s="72"/>
      <c r="B10" s="72"/>
      <c r="C10" s="72"/>
      <c r="D10" s="72"/>
      <c r="E10" s="72"/>
      <c r="F10" s="72"/>
      <c r="G10" s="72"/>
    </row>
    <row r="11" spans="1:8">
      <c r="A11" s="72"/>
      <c r="B11" s="72"/>
      <c r="C11" s="72"/>
      <c r="D11" s="72"/>
      <c r="E11" s="72"/>
      <c r="F11" s="72"/>
      <c r="G11" s="72"/>
    </row>
    <row r="12" spans="1:8">
      <c r="A12" s="72"/>
      <c r="B12" s="72"/>
      <c r="C12" s="87" t="e">
        <f>C6+#REF!</f>
        <v>#REF!</v>
      </c>
      <c r="D12" s="87"/>
      <c r="E12" s="87" t="e">
        <f>#REF!+E6</f>
        <v>#REF!</v>
      </c>
      <c r="F12" s="87"/>
      <c r="G12" s="87" t="e">
        <f>G6+#REF!</f>
        <v>#REF!</v>
      </c>
    </row>
    <row r="13" spans="1:8">
      <c r="A13" s="72"/>
      <c r="B13" s="72"/>
      <c r="C13" s="72"/>
      <c r="D13" s="72"/>
      <c r="E13" s="72"/>
      <c r="F13" s="72"/>
      <c r="G13" s="72"/>
    </row>
  </sheetData>
  <mergeCells count="2">
    <mergeCell ref="A2:A3"/>
    <mergeCell ref="A5:A6"/>
  </mergeCells>
  <pageMargins left="0.7" right="0.7" top="0.75" bottom="0.75" header="0.3" footer="0.3"/>
  <pageSetup scale="85"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M35"/>
  <sheetViews>
    <sheetView workbookViewId="0">
      <selection activeCell="B180" sqref="B180"/>
    </sheetView>
  </sheetViews>
  <sheetFormatPr defaultRowHeight="13.2"/>
  <cols>
    <col min="1" max="1" width="10.6640625" style="22" customWidth="1"/>
    <col min="2" max="2" width="3" style="22" customWidth="1"/>
    <col min="3" max="3" width="13.33203125" style="22" customWidth="1"/>
    <col min="4" max="4" width="3" style="22" customWidth="1"/>
    <col min="5" max="5" width="16.33203125" style="22" customWidth="1"/>
    <col min="6" max="6" width="3" style="22" customWidth="1"/>
    <col min="7" max="7" width="12.44140625" style="22" customWidth="1"/>
    <col min="8" max="8" width="3" style="22" customWidth="1"/>
    <col min="9" max="9" width="16.5546875" style="22" customWidth="1"/>
    <col min="10" max="10" width="3" style="22" customWidth="1"/>
    <col min="11" max="11" width="13.6640625" style="22" customWidth="1"/>
    <col min="12"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3" ht="12.75" customHeight="1">
      <c r="A1" s="247" t="s">
        <v>273</v>
      </c>
      <c r="B1" s="247"/>
      <c r="C1" s="247"/>
      <c r="D1" s="247"/>
      <c r="E1" s="247"/>
      <c r="F1" s="247"/>
      <c r="G1" s="247"/>
      <c r="H1" s="247"/>
      <c r="I1" s="247"/>
      <c r="J1" s="247"/>
      <c r="K1" s="247"/>
    </row>
    <row r="2" spans="1:13" ht="16.5" customHeight="1">
      <c r="A2" s="43" t="s">
        <v>85</v>
      </c>
      <c r="B2" s="43"/>
      <c r="C2" s="43"/>
      <c r="D2" s="43"/>
      <c r="E2" s="43"/>
      <c r="F2" s="43"/>
      <c r="G2" s="43"/>
      <c r="H2" s="43"/>
      <c r="I2" s="43"/>
      <c r="J2" s="43"/>
      <c r="K2" s="43"/>
    </row>
    <row r="3" spans="1:13" ht="16.5" customHeight="1">
      <c r="A3" s="293" t="s">
        <v>406</v>
      </c>
      <c r="B3" s="69"/>
      <c r="C3" s="69"/>
      <c r="D3" s="69"/>
      <c r="E3" s="69"/>
      <c r="F3" s="69"/>
      <c r="G3" s="69"/>
      <c r="H3" s="69"/>
      <c r="I3" s="69"/>
      <c r="J3" s="69"/>
      <c r="K3" s="69"/>
    </row>
    <row r="4" spans="1:13">
      <c r="A4" s="35"/>
      <c r="B4" s="35"/>
      <c r="C4" s="35"/>
      <c r="D4" s="35"/>
      <c r="E4" s="35"/>
      <c r="F4" s="35"/>
      <c r="G4" s="35"/>
      <c r="H4" s="35"/>
      <c r="I4" s="35"/>
      <c r="J4" s="35"/>
      <c r="K4" s="35"/>
    </row>
    <row r="5" spans="1:13">
      <c r="A5" s="35"/>
      <c r="B5" s="35"/>
      <c r="C5" s="35"/>
      <c r="D5" s="35"/>
      <c r="E5" s="35"/>
      <c r="F5" s="35"/>
      <c r="G5" s="35"/>
      <c r="H5" s="35"/>
      <c r="I5" s="35"/>
      <c r="J5" s="35"/>
      <c r="K5" s="35"/>
    </row>
    <row r="6" spans="1:13">
      <c r="A6" s="35"/>
      <c r="B6" s="35"/>
      <c r="C6" s="35"/>
      <c r="D6" s="35"/>
      <c r="E6" s="35"/>
      <c r="F6" s="35"/>
      <c r="G6" s="35"/>
      <c r="H6" s="35"/>
      <c r="I6" s="23" t="s">
        <v>88</v>
      </c>
      <c r="J6" s="35"/>
      <c r="K6" s="35"/>
    </row>
    <row r="7" spans="1:13">
      <c r="A7" s="35"/>
      <c r="B7" s="35"/>
      <c r="C7" s="35"/>
      <c r="D7" s="35"/>
      <c r="E7" s="35"/>
      <c r="F7" s="35"/>
      <c r="G7" s="35"/>
      <c r="H7" s="35"/>
      <c r="I7" s="23" t="str">
        <f>C9</f>
        <v>City's</v>
      </c>
      <c r="J7" s="35"/>
      <c r="K7" s="35"/>
    </row>
    <row r="8" spans="1:13">
      <c r="A8" s="35"/>
      <c r="B8" s="35"/>
      <c r="C8" s="23" t="s">
        <v>86</v>
      </c>
      <c r="D8" s="35"/>
      <c r="E8" s="25" t="s">
        <v>87</v>
      </c>
      <c r="F8" s="35"/>
      <c r="G8" s="35"/>
      <c r="H8" s="35"/>
      <c r="I8" s="395" t="s">
        <v>161</v>
      </c>
      <c r="J8" s="35"/>
      <c r="K8" s="25" t="s">
        <v>89</v>
      </c>
    </row>
    <row r="9" spans="1:13">
      <c r="A9" s="23"/>
      <c r="B9" s="23"/>
      <c r="C9" s="71" t="s">
        <v>159</v>
      </c>
      <c r="D9" s="23"/>
      <c r="E9" s="23" t="str">
        <f>C9</f>
        <v>City's</v>
      </c>
      <c r="F9" s="23"/>
      <c r="G9" s="25" t="s">
        <v>90</v>
      </c>
      <c r="H9" s="25"/>
      <c r="I9" s="395"/>
      <c r="J9" s="23"/>
      <c r="K9" s="23" t="s">
        <v>91</v>
      </c>
    </row>
    <row r="10" spans="1:13">
      <c r="A10" s="30" t="s">
        <v>291</v>
      </c>
      <c r="B10" s="24"/>
      <c r="C10" s="23" t="s">
        <v>93</v>
      </c>
      <c r="D10" s="23"/>
      <c r="E10" s="23" t="s">
        <v>94</v>
      </c>
      <c r="F10" s="23"/>
      <c r="G10" s="23" t="str">
        <f>C9</f>
        <v>City's</v>
      </c>
      <c r="H10" s="25"/>
      <c r="I10" s="395"/>
      <c r="J10" s="23"/>
      <c r="K10" s="23" t="s">
        <v>95</v>
      </c>
    </row>
    <row r="11" spans="1:13">
      <c r="A11" s="25" t="s">
        <v>292</v>
      </c>
      <c r="C11" s="23" t="s">
        <v>97</v>
      </c>
      <c r="D11" s="23"/>
      <c r="E11" s="23" t="s">
        <v>98</v>
      </c>
      <c r="F11" s="23"/>
      <c r="G11" s="23" t="s">
        <v>99</v>
      </c>
      <c r="H11" s="23"/>
      <c r="I11" s="395"/>
      <c r="J11" s="23"/>
      <c r="K11" s="23" t="s">
        <v>101</v>
      </c>
    </row>
    <row r="12" spans="1:13">
      <c r="A12" s="33" t="s">
        <v>102</v>
      </c>
      <c r="C12" s="26" t="s">
        <v>160</v>
      </c>
      <c r="D12" s="23"/>
      <c r="E12" s="26" t="s">
        <v>160</v>
      </c>
      <c r="F12" s="23"/>
      <c r="G12" s="26" t="s">
        <v>103</v>
      </c>
      <c r="H12" s="23"/>
      <c r="I12" s="396"/>
      <c r="J12" s="23"/>
      <c r="K12" s="26" t="s">
        <v>104</v>
      </c>
    </row>
    <row r="13" spans="1:13">
      <c r="A13" s="25"/>
      <c r="C13" s="23"/>
      <c r="D13" s="23"/>
      <c r="E13" s="25"/>
      <c r="F13" s="23"/>
      <c r="G13" s="23"/>
      <c r="H13" s="23"/>
      <c r="I13" s="23"/>
      <c r="J13" s="23"/>
      <c r="K13" s="23"/>
      <c r="M13" s="22" t="s">
        <v>390</v>
      </c>
    </row>
    <row r="14" spans="1:13" ht="14.4">
      <c r="A14" s="319">
        <v>2018</v>
      </c>
      <c r="C14" s="44">
        <f>'State Schedule'!D10</f>
        <v>6.4690599999999994E-5</v>
      </c>
      <c r="D14" s="23"/>
      <c r="E14" s="42">
        <f>'State Schedule'!D13</f>
        <v>979977</v>
      </c>
      <c r="F14" s="23"/>
      <c r="G14" s="297">
        <f>'RSI Schedule of Cont'!I13</f>
        <v>709681</v>
      </c>
      <c r="H14" s="23"/>
      <c r="I14" s="45">
        <f t="shared" ref="I14:I19" si="0">E14/G14</f>
        <v>1.3808697147028031</v>
      </c>
      <c r="J14" s="23"/>
      <c r="K14" s="189">
        <v>0.82099999999999995</v>
      </c>
      <c r="M14" s="284" t="s">
        <v>391</v>
      </c>
    </row>
    <row r="15" spans="1:13">
      <c r="A15" s="27">
        <f>A14-1</f>
        <v>2017</v>
      </c>
      <c r="B15" s="25"/>
      <c r="C15" s="44">
        <f>'State Schedule'!D9</f>
        <v>8.8112699999999994E-5</v>
      </c>
      <c r="D15" s="23"/>
      <c r="E15" s="170">
        <f>'State Schedule'!D12</f>
        <v>1187763</v>
      </c>
      <c r="F15" s="46"/>
      <c r="G15" s="342">
        <f>'RSI Schedule of Cont'!I14</f>
        <v>739513</v>
      </c>
      <c r="H15" s="23"/>
      <c r="I15" s="45">
        <f t="shared" si="0"/>
        <v>1.6061421503070263</v>
      </c>
      <c r="J15" s="23"/>
      <c r="K15" s="189">
        <v>0.83099999999999996</v>
      </c>
    </row>
    <row r="16" spans="1:13">
      <c r="A16" s="27">
        <f t="shared" ref="A16:A19" si="1">A15-1</f>
        <v>2016</v>
      </c>
      <c r="B16" s="25"/>
      <c r="C16" s="258">
        <v>8.7499399999999998E-5</v>
      </c>
      <c r="E16" s="249">
        <v>1313569</v>
      </c>
      <c r="G16" s="342">
        <f>'RSI Schedule of Cont'!I15</f>
        <v>654057</v>
      </c>
      <c r="I16" s="45">
        <f t="shared" si="0"/>
        <v>2.0083402516906017</v>
      </c>
      <c r="K16" s="189">
        <v>0.80530000000000002</v>
      </c>
    </row>
    <row r="17" spans="1:13">
      <c r="A17" s="27">
        <f t="shared" si="1"/>
        <v>2015</v>
      </c>
      <c r="B17" s="25"/>
      <c r="C17" s="258">
        <v>8.4709600000000006E-5</v>
      </c>
      <c r="D17" s="71"/>
      <c r="E17" s="249">
        <v>486357</v>
      </c>
      <c r="F17" s="46"/>
      <c r="G17" s="342">
        <f>'RSI Schedule of Cont'!I16</f>
        <v>550106</v>
      </c>
      <c r="H17" s="23"/>
      <c r="I17" s="45">
        <f t="shared" si="0"/>
        <v>0.88411506146088203</v>
      </c>
      <c r="J17" s="23"/>
      <c r="K17" s="189">
        <v>0.91900000000000004</v>
      </c>
    </row>
    <row r="18" spans="1:13">
      <c r="A18" s="27">
        <f t="shared" si="1"/>
        <v>2014</v>
      </c>
      <c r="B18" s="25"/>
      <c r="C18" s="258">
        <v>1.017141E-4</v>
      </c>
      <c r="D18" s="71"/>
      <c r="E18" s="249">
        <v>-230556</v>
      </c>
      <c r="F18" s="46"/>
      <c r="G18" s="342">
        <f>'RSI Schedule of Cont'!I17</f>
        <v>654057</v>
      </c>
      <c r="H18" s="231"/>
      <c r="I18" s="45">
        <f t="shared" si="0"/>
        <v>-0.35250138749375054</v>
      </c>
      <c r="J18" s="23"/>
      <c r="K18" s="189">
        <v>1.036</v>
      </c>
    </row>
    <row r="19" spans="1:13">
      <c r="A19" s="27">
        <f t="shared" si="1"/>
        <v>2013</v>
      </c>
      <c r="C19" s="258">
        <v>8.4709600000000006E-5</v>
      </c>
      <c r="D19" s="259"/>
      <c r="E19" s="249">
        <v>519062</v>
      </c>
      <c r="F19" s="170"/>
      <c r="G19" s="248">
        <v>550106</v>
      </c>
      <c r="H19" s="231"/>
      <c r="I19" s="45">
        <f t="shared" si="0"/>
        <v>0.94356723976833556</v>
      </c>
      <c r="J19" s="23"/>
      <c r="K19" s="45">
        <f>58478.9/63582.1</f>
        <v>0.91973841694439162</v>
      </c>
    </row>
    <row r="20" spans="1:13">
      <c r="A20" s="27"/>
      <c r="H20" s="23"/>
      <c r="J20" s="23"/>
    </row>
    <row r="21" spans="1:13">
      <c r="H21" s="23"/>
      <c r="J21" s="23"/>
    </row>
    <row r="22" spans="1:13">
      <c r="A22" s="27"/>
      <c r="B22" s="36"/>
      <c r="C22" s="36"/>
      <c r="D22" s="29"/>
      <c r="E22" s="28"/>
      <c r="F22" s="29"/>
      <c r="G22" s="30"/>
      <c r="H22" s="30"/>
      <c r="I22" s="31"/>
      <c r="J22" s="29"/>
      <c r="K22" s="32"/>
    </row>
    <row r="23" spans="1:13" ht="26.25" customHeight="1">
      <c r="A23" s="393" t="s">
        <v>128</v>
      </c>
      <c r="B23" s="393"/>
      <c r="C23" s="393"/>
      <c r="D23" s="393"/>
      <c r="E23" s="393"/>
      <c r="F23" s="393"/>
      <c r="G23" s="393"/>
      <c r="H23" s="393"/>
      <c r="I23" s="393"/>
      <c r="J23" s="393"/>
      <c r="K23" s="393"/>
    </row>
    <row r="24" spans="1:13">
      <c r="H24" s="30"/>
      <c r="I24" s="31"/>
      <c r="J24" s="29"/>
      <c r="K24" s="32"/>
    </row>
    <row r="25" spans="1:13" ht="41.25" customHeight="1">
      <c r="A25" s="394" t="s">
        <v>329</v>
      </c>
      <c r="B25" s="394"/>
      <c r="C25" s="394"/>
      <c r="D25" s="394"/>
      <c r="E25" s="394"/>
      <c r="F25" s="394"/>
      <c r="G25" s="394"/>
      <c r="H25" s="394"/>
      <c r="I25" s="394"/>
      <c r="J25" s="394"/>
      <c r="K25" s="394"/>
    </row>
    <row r="26" spans="1:13">
      <c r="A26" s="36"/>
      <c r="B26" s="36"/>
      <c r="C26" s="36"/>
      <c r="D26" s="36"/>
      <c r="E26" s="25"/>
      <c r="F26" s="36"/>
      <c r="G26" s="36"/>
      <c r="H26" s="36"/>
      <c r="I26" s="36"/>
      <c r="J26" s="36"/>
      <c r="K26" s="23"/>
    </row>
    <row r="27" spans="1:13">
      <c r="A27" s="292" t="s">
        <v>330</v>
      </c>
    </row>
    <row r="29" spans="1:13">
      <c r="A29" s="393" t="s">
        <v>331</v>
      </c>
      <c r="B29" s="393"/>
      <c r="C29" s="393"/>
      <c r="D29" s="393"/>
      <c r="E29" s="393"/>
      <c r="F29" s="393"/>
      <c r="G29" s="393"/>
      <c r="H29" s="393"/>
      <c r="I29" s="393"/>
      <c r="J29" s="393"/>
      <c r="K29" s="393"/>
    </row>
    <row r="30" spans="1:13">
      <c r="A30" s="295"/>
      <c r="B30" s="295"/>
      <c r="C30" s="295"/>
      <c r="D30" s="295"/>
      <c r="E30" s="295"/>
      <c r="F30" s="295"/>
      <c r="G30" s="295"/>
      <c r="H30" s="295"/>
      <c r="I30" s="295"/>
      <c r="J30" s="295"/>
      <c r="K30" s="295"/>
    </row>
    <row r="31" spans="1:13" ht="82.5" customHeight="1">
      <c r="A31" s="392" t="s">
        <v>332</v>
      </c>
      <c r="B31" s="392"/>
      <c r="C31" s="392"/>
      <c r="D31" s="392"/>
      <c r="E31" s="392"/>
      <c r="F31" s="392"/>
      <c r="G31" s="392"/>
      <c r="H31" s="392"/>
      <c r="I31" s="392"/>
      <c r="J31" s="392"/>
      <c r="K31" s="392"/>
    </row>
    <row r="32" spans="1:13" ht="14.4">
      <c r="M32" s="284" t="s">
        <v>391</v>
      </c>
    </row>
    <row r="33" spans="1:11">
      <c r="A33" s="22" t="s">
        <v>333</v>
      </c>
    </row>
    <row r="35" spans="1:11" ht="65.25" customHeight="1">
      <c r="A35" s="392" t="s">
        <v>399</v>
      </c>
      <c r="B35" s="392"/>
      <c r="C35" s="392"/>
      <c r="D35" s="392"/>
      <c r="E35" s="392"/>
      <c r="F35" s="392"/>
      <c r="G35" s="392"/>
      <c r="H35" s="392"/>
      <c r="I35" s="392"/>
      <c r="J35" s="392"/>
      <c r="K35" s="392"/>
    </row>
  </sheetData>
  <mergeCells count="6">
    <mergeCell ref="A35:K35"/>
    <mergeCell ref="A23:K23"/>
    <mergeCell ref="A25:K25"/>
    <mergeCell ref="I8:I12"/>
    <mergeCell ref="A29:K29"/>
    <mergeCell ref="A31:K31"/>
  </mergeCells>
  <hyperlinks>
    <hyperlink ref="M14" r:id="rId1" xr:uid="{64222CA3-0A9E-4B68-9789-AB6652D82DF8}"/>
    <hyperlink ref="M32" r:id="rId2" xr:uid="{217308A2-BB95-403D-A431-AF2858933155}"/>
  </hyperlinks>
  <pageMargins left="0.7" right="0.7" top="0.75" bottom="0.75" header="0.3" footer="0.3"/>
  <pageSetup scale="92" orientation="portrait" horizontalDpi="300" verticalDpi="300"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pageSetUpPr fitToPage="1"/>
  </sheetPr>
  <dimension ref="A1:AB41"/>
  <sheetViews>
    <sheetView view="pageBreakPreview" zoomScaleNormal="100" zoomScaleSheetLayoutView="100" workbookViewId="0">
      <selection activeCell="B180" sqref="B180"/>
    </sheetView>
  </sheetViews>
  <sheetFormatPr defaultRowHeight="13.2"/>
  <cols>
    <col min="1" max="1" width="13.6640625" style="22" customWidth="1"/>
    <col min="2" max="2" width="3.6640625" style="22" customWidth="1"/>
    <col min="3" max="3" width="13.6640625" style="22" customWidth="1"/>
    <col min="4" max="4" width="3.6640625" style="22" customWidth="1"/>
    <col min="5" max="5" width="13.6640625" style="22" customWidth="1"/>
    <col min="6" max="6" width="3.6640625" style="22" customWidth="1"/>
    <col min="7" max="7" width="13.6640625" style="22" customWidth="1"/>
    <col min="8" max="8" width="3.6640625" style="22" customWidth="1"/>
    <col min="9" max="9" width="13.6640625" style="22" customWidth="1"/>
    <col min="10" max="10" width="3.6640625" style="22" customWidth="1"/>
    <col min="11" max="11" width="13.6640625" style="22" customWidth="1"/>
    <col min="12" max="12" width="9.109375" style="22"/>
    <col min="13" max="13" width="2.5546875" style="22" customWidth="1"/>
    <col min="14" max="16" width="9.109375" style="22"/>
    <col min="17" max="17" width="16.6640625" style="22" customWidth="1"/>
    <col min="18" max="18" width="10" style="22" customWidth="1"/>
    <col min="19" max="19" width="3.5546875" style="22" customWidth="1"/>
    <col min="20" max="20" width="10" style="22" customWidth="1"/>
    <col min="21" max="21" width="2.109375" style="22" customWidth="1"/>
    <col min="22" max="22" width="10" style="22" customWidth="1"/>
    <col min="23" max="23" width="3.5546875" style="22" customWidth="1"/>
    <col min="24" max="24" width="10" style="22" customWidth="1"/>
    <col min="25" max="25" width="2.109375" style="22" customWidth="1"/>
    <col min="26" max="26" width="10" style="22" customWidth="1"/>
    <col min="27" max="27" width="3.5546875" style="22" customWidth="1"/>
    <col min="28" max="28" width="10" style="22" customWidth="1"/>
    <col min="29"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5" ht="12.75" customHeight="1">
      <c r="A1" s="246" t="str">
        <f>'RSI Schedule of Prop Share'!A1</f>
        <v>CITY OF ***, OREGON</v>
      </c>
      <c r="B1" s="247"/>
      <c r="C1" s="247"/>
      <c r="D1" s="247"/>
      <c r="E1" s="247"/>
      <c r="F1" s="247"/>
      <c r="G1" s="247"/>
      <c r="H1" s="247"/>
      <c r="I1" s="247"/>
      <c r="J1" s="247"/>
      <c r="K1" s="247"/>
    </row>
    <row r="2" spans="1:15" ht="16.5" customHeight="1">
      <c r="A2" s="43" t="s">
        <v>105</v>
      </c>
      <c r="B2" s="43"/>
      <c r="C2" s="43"/>
      <c r="D2" s="43"/>
      <c r="E2" s="43"/>
      <c r="F2" s="43"/>
      <c r="G2" s="43"/>
      <c r="H2" s="43"/>
      <c r="I2" s="43"/>
      <c r="J2" s="43"/>
      <c r="K2" s="43"/>
    </row>
    <row r="3" spans="1:15" ht="16.5" customHeight="1">
      <c r="A3" s="293" t="s">
        <v>406</v>
      </c>
      <c r="B3" s="69"/>
      <c r="C3" s="69"/>
      <c r="D3" s="69"/>
      <c r="E3" s="69"/>
      <c r="F3" s="69"/>
      <c r="G3" s="69"/>
      <c r="H3" s="69"/>
      <c r="I3" s="69"/>
      <c r="J3" s="69"/>
      <c r="K3" s="69"/>
      <c r="M3" s="285" t="s">
        <v>388</v>
      </c>
      <c r="N3" s="285"/>
    </row>
    <row r="4" spans="1:15">
      <c r="A4" s="35"/>
      <c r="B4" s="35"/>
      <c r="C4" s="35"/>
      <c r="D4" s="35"/>
      <c r="E4" s="35"/>
      <c r="F4" s="35"/>
      <c r="G4" s="35"/>
      <c r="H4" s="35"/>
      <c r="I4" s="35"/>
      <c r="J4" s="35"/>
      <c r="K4" s="35"/>
    </row>
    <row r="5" spans="1:15">
      <c r="A5" s="35"/>
      <c r="B5" s="35"/>
      <c r="C5" s="35"/>
      <c r="D5" s="35"/>
      <c r="E5" s="35"/>
      <c r="F5" s="35"/>
      <c r="G5" s="35"/>
      <c r="H5" s="35"/>
      <c r="I5" s="35"/>
      <c r="J5" s="35"/>
      <c r="K5" s="35"/>
    </row>
    <row r="6" spans="1:15">
      <c r="A6" s="23"/>
      <c r="B6" s="23"/>
      <c r="C6" s="36"/>
      <c r="D6" s="36"/>
      <c r="E6" s="25" t="s">
        <v>87</v>
      </c>
      <c r="F6" s="36"/>
      <c r="H6" s="36"/>
      <c r="I6" s="36"/>
      <c r="J6" s="36"/>
      <c r="K6" s="23" t="s">
        <v>88</v>
      </c>
    </row>
    <row r="7" spans="1:15">
      <c r="A7" s="23"/>
      <c r="B7" s="23"/>
      <c r="C7" s="25" t="s">
        <v>86</v>
      </c>
      <c r="D7" s="23"/>
      <c r="E7" s="25" t="s">
        <v>106</v>
      </c>
      <c r="F7" s="23"/>
      <c r="G7" s="23" t="s">
        <v>162</v>
      </c>
      <c r="H7" s="23"/>
      <c r="I7" s="25" t="s">
        <v>90</v>
      </c>
      <c r="J7" s="23"/>
      <c r="K7" s="25" t="s">
        <v>107</v>
      </c>
    </row>
    <row r="8" spans="1:15">
      <c r="A8" s="30" t="s">
        <v>92</v>
      </c>
      <c r="B8" s="30"/>
      <c r="C8" s="25" t="s">
        <v>108</v>
      </c>
      <c r="D8" s="25"/>
      <c r="E8" s="25" t="s">
        <v>109</v>
      </c>
      <c r="F8" s="25"/>
      <c r="G8" s="25" t="s">
        <v>110</v>
      </c>
      <c r="H8" s="25"/>
      <c r="I8" s="23" t="str">
        <f>'RSI Schedule of Prop Share'!C9</f>
        <v>City's</v>
      </c>
      <c r="J8" s="25"/>
      <c r="K8" s="25" t="s">
        <v>111</v>
      </c>
    </row>
    <row r="9" spans="1:15">
      <c r="A9" s="25" t="s">
        <v>96</v>
      </c>
      <c r="B9" s="25"/>
      <c r="C9" s="25" t="s">
        <v>112</v>
      </c>
      <c r="D9" s="25"/>
      <c r="E9" s="25" t="s">
        <v>113</v>
      </c>
      <c r="F9" s="25"/>
      <c r="G9" s="25" t="s">
        <v>114</v>
      </c>
      <c r="H9" s="25"/>
      <c r="I9" s="23" t="s">
        <v>99</v>
      </c>
      <c r="J9" s="25"/>
      <c r="K9" s="25" t="s">
        <v>100</v>
      </c>
    </row>
    <row r="10" spans="1:15">
      <c r="A10" s="33" t="s">
        <v>102</v>
      </c>
      <c r="B10" s="25"/>
      <c r="C10" s="33" t="s">
        <v>115</v>
      </c>
      <c r="D10" s="25"/>
      <c r="E10" s="33" t="s">
        <v>115</v>
      </c>
      <c r="F10" s="25"/>
      <c r="G10" s="33" t="s">
        <v>116</v>
      </c>
      <c r="H10" s="25"/>
      <c r="I10" s="26" t="s">
        <v>103</v>
      </c>
      <c r="J10" s="25"/>
      <c r="K10" s="33" t="s">
        <v>103</v>
      </c>
    </row>
    <row r="11" spans="1:15">
      <c r="A11" s="24"/>
      <c r="B11" s="24"/>
      <c r="D11" s="24"/>
      <c r="E11" s="24"/>
      <c r="K11" s="24"/>
    </row>
    <row r="12" spans="1:15">
      <c r="A12" s="27" t="s">
        <v>389</v>
      </c>
      <c r="B12" s="24"/>
      <c r="C12" s="186">
        <f>'State Schedule'!C32</f>
        <v>178898</v>
      </c>
      <c r="D12" s="24"/>
      <c r="E12" s="187">
        <f>C12</f>
        <v>178898</v>
      </c>
      <c r="G12" s="186">
        <f t="shared" ref="G12:G17" si="0">C12-E12</f>
        <v>0</v>
      </c>
      <c r="I12" s="286">
        <v>750000</v>
      </c>
      <c r="K12" s="41">
        <f t="shared" ref="K12:K17" si="1">E12/I12</f>
        <v>0.23853066666666667</v>
      </c>
    </row>
    <row r="13" spans="1:15">
      <c r="A13" s="27">
        <f>A12-1</f>
        <v>2018</v>
      </c>
      <c r="B13" s="24"/>
      <c r="C13" s="260">
        <v>157872</v>
      </c>
      <c r="D13" s="261"/>
      <c r="E13" s="260">
        <f>+C13</f>
        <v>157872</v>
      </c>
      <c r="G13" s="40">
        <f t="shared" si="0"/>
        <v>0</v>
      </c>
      <c r="I13" s="248">
        <v>709681</v>
      </c>
      <c r="J13" s="232"/>
      <c r="K13" s="41">
        <f t="shared" si="1"/>
        <v>0.22245487761402657</v>
      </c>
    </row>
    <row r="14" spans="1:15">
      <c r="A14" s="27">
        <f t="shared" ref="A14:A16" si="2">A13-1</f>
        <v>2017</v>
      </c>
      <c r="B14" s="24"/>
      <c r="C14" s="260">
        <v>119040</v>
      </c>
      <c r="D14" s="261"/>
      <c r="E14" s="260">
        <f>+C14</f>
        <v>119040</v>
      </c>
      <c r="G14" s="40">
        <f t="shared" si="0"/>
        <v>0</v>
      </c>
      <c r="I14" s="248">
        <v>739513</v>
      </c>
      <c r="J14" s="232"/>
      <c r="K14" s="41">
        <f t="shared" si="1"/>
        <v>0.1609708010542073</v>
      </c>
      <c r="O14" s="294"/>
    </row>
    <row r="15" spans="1:15">
      <c r="A15" s="27">
        <f t="shared" si="2"/>
        <v>2016</v>
      </c>
      <c r="B15" s="34"/>
      <c r="C15" s="260">
        <v>142027</v>
      </c>
      <c r="D15" s="261"/>
      <c r="E15" s="260">
        <f>+C15</f>
        <v>142027</v>
      </c>
      <c r="F15" s="40"/>
      <c r="G15" s="40">
        <f t="shared" si="0"/>
        <v>0</v>
      </c>
      <c r="H15" s="40"/>
      <c r="I15" s="248">
        <v>654057</v>
      </c>
      <c r="J15" s="232"/>
      <c r="K15" s="41">
        <f t="shared" si="1"/>
        <v>0.21714774094612549</v>
      </c>
      <c r="O15" s="248"/>
    </row>
    <row r="16" spans="1:15">
      <c r="A16" s="27">
        <f t="shared" si="2"/>
        <v>2015</v>
      </c>
      <c r="B16" s="34"/>
      <c r="C16" s="260">
        <v>69138</v>
      </c>
      <c r="D16" s="260"/>
      <c r="E16" s="260">
        <f>+C16</f>
        <v>69138</v>
      </c>
      <c r="F16" s="40"/>
      <c r="G16" s="40">
        <f t="shared" si="0"/>
        <v>0</v>
      </c>
      <c r="H16" s="40"/>
      <c r="I16" s="248">
        <v>550106</v>
      </c>
      <c r="J16" s="232"/>
      <c r="K16" s="41">
        <f t="shared" si="1"/>
        <v>0.12568123234431183</v>
      </c>
      <c r="O16" s="248"/>
    </row>
    <row r="17" spans="1:28">
      <c r="A17" s="27">
        <f t="shared" ref="A17" si="3">A16-1</f>
        <v>2014</v>
      </c>
      <c r="B17" s="34"/>
      <c r="C17" s="260">
        <v>112061</v>
      </c>
      <c r="D17" s="260"/>
      <c r="E17" s="260">
        <f>+C17</f>
        <v>112061</v>
      </c>
      <c r="F17" s="40"/>
      <c r="G17" s="40">
        <f t="shared" si="0"/>
        <v>0</v>
      </c>
      <c r="H17" s="40"/>
      <c r="I17" s="248">
        <v>654057</v>
      </c>
      <c r="J17" s="232"/>
      <c r="K17" s="41">
        <f t="shared" si="1"/>
        <v>0.17133216218158356</v>
      </c>
      <c r="O17" s="248"/>
    </row>
    <row r="18" spans="1:28">
      <c r="K18" s="24"/>
      <c r="O18" s="248"/>
    </row>
    <row r="21" spans="1:28" ht="25.5" customHeight="1">
      <c r="A21" s="393" t="s">
        <v>128</v>
      </c>
      <c r="B21" s="393"/>
      <c r="C21" s="393"/>
      <c r="D21" s="393"/>
      <c r="E21" s="393"/>
      <c r="F21" s="393"/>
      <c r="G21" s="393"/>
      <c r="H21" s="393"/>
      <c r="I21" s="393"/>
      <c r="J21" s="393"/>
      <c r="K21" s="393"/>
    </row>
    <row r="23" spans="1:28" ht="40.950000000000003" customHeight="1">
      <c r="A23" s="394" t="s">
        <v>329</v>
      </c>
      <c r="B23" s="394"/>
      <c r="C23" s="394"/>
      <c r="D23" s="394"/>
      <c r="E23" s="394"/>
      <c r="F23" s="394"/>
      <c r="G23" s="394"/>
      <c r="H23" s="394"/>
      <c r="I23" s="394"/>
      <c r="J23" s="394"/>
      <c r="K23" s="394"/>
    </row>
    <row r="25" spans="1:28">
      <c r="A25" s="292" t="s">
        <v>330</v>
      </c>
    </row>
    <row r="27" spans="1:28">
      <c r="A27" s="22" t="s">
        <v>336</v>
      </c>
    </row>
    <row r="28" spans="1:28">
      <c r="P28" s="22" t="s">
        <v>334</v>
      </c>
    </row>
    <row r="29" spans="1:28" ht="15" customHeight="1">
      <c r="H29" s="291"/>
      <c r="P29" s="284" t="s">
        <v>335</v>
      </c>
    </row>
    <row r="30" spans="1:28" ht="15" customHeight="1">
      <c r="H30" s="296"/>
    </row>
    <row r="31" spans="1:28" ht="15" customHeight="1">
      <c r="H31" s="296"/>
    </row>
    <row r="32" spans="1:28" ht="15" customHeight="1">
      <c r="H32" s="296"/>
      <c r="P32" s="320" t="s">
        <v>346</v>
      </c>
      <c r="Q32" s="320"/>
      <c r="R32" s="397">
        <v>42369</v>
      </c>
      <c r="S32" s="397"/>
      <c r="T32" s="397"/>
      <c r="U32" s="320"/>
      <c r="V32" s="397">
        <v>41639</v>
      </c>
      <c r="W32" s="397"/>
      <c r="X32" s="397"/>
      <c r="Y32" s="320"/>
      <c r="Z32" s="397">
        <v>40908</v>
      </c>
      <c r="AA32" s="397"/>
      <c r="AB32" s="397"/>
    </row>
    <row r="33" spans="8:28">
      <c r="H33" s="296"/>
      <c r="P33" s="320" t="s">
        <v>337</v>
      </c>
      <c r="Q33" s="320"/>
      <c r="R33" s="321"/>
      <c r="S33" s="322" t="s">
        <v>400</v>
      </c>
      <c r="T33" s="321"/>
      <c r="U33" s="320"/>
      <c r="V33" s="321"/>
      <c r="W33" s="322" t="s">
        <v>347</v>
      </c>
      <c r="X33" s="321"/>
      <c r="Y33" s="320"/>
      <c r="Z33" s="321"/>
      <c r="AA33" s="322" t="s">
        <v>354</v>
      </c>
      <c r="AB33" s="321"/>
    </row>
    <row r="34" spans="8:28">
      <c r="H34" s="296"/>
      <c r="P34" s="320" t="s">
        <v>338</v>
      </c>
      <c r="Q34" s="320"/>
      <c r="R34" s="321"/>
      <c r="S34" s="322" t="s">
        <v>66</v>
      </c>
      <c r="T34" s="321"/>
      <c r="U34" s="320"/>
      <c r="V34" s="321"/>
      <c r="W34" s="322" t="s">
        <v>66</v>
      </c>
      <c r="X34" s="321"/>
      <c r="Y34" s="320"/>
      <c r="Z34" s="321"/>
      <c r="AA34" s="322" t="s">
        <v>355</v>
      </c>
      <c r="AB34" s="321"/>
    </row>
    <row r="35" spans="8:28">
      <c r="H35" s="296"/>
      <c r="P35" s="320" t="s">
        <v>339</v>
      </c>
      <c r="Q35" s="320"/>
      <c r="R35" s="321"/>
      <c r="S35" s="322" t="s">
        <v>348</v>
      </c>
      <c r="T35" s="321"/>
      <c r="U35" s="320"/>
      <c r="V35" s="321"/>
      <c r="W35" s="322" t="s">
        <v>348</v>
      </c>
      <c r="X35" s="321"/>
      <c r="Y35" s="320"/>
      <c r="Z35" s="321"/>
      <c r="AA35" s="322" t="s">
        <v>348</v>
      </c>
      <c r="AB35" s="321"/>
    </row>
    <row r="36" spans="8:28">
      <c r="H36" s="296"/>
      <c r="P36" s="320" t="s">
        <v>340</v>
      </c>
      <c r="Q36" s="320"/>
      <c r="R36" s="321"/>
      <c r="S36" s="322" t="s">
        <v>349</v>
      </c>
      <c r="T36" s="321"/>
      <c r="U36" s="320"/>
      <c r="V36" s="321"/>
      <c r="W36" s="322" t="s">
        <v>349</v>
      </c>
      <c r="X36" s="321"/>
      <c r="Y36" s="320"/>
      <c r="Z36" s="321"/>
      <c r="AA36" s="322" t="s">
        <v>349</v>
      </c>
      <c r="AB36" s="321"/>
    </row>
    <row r="37" spans="8:28">
      <c r="H37" s="296"/>
      <c r="P37" s="320" t="s">
        <v>341</v>
      </c>
      <c r="Q37" s="320"/>
      <c r="R37" s="321"/>
      <c r="S37" s="322" t="s">
        <v>350</v>
      </c>
      <c r="T37" s="321"/>
      <c r="U37" s="320"/>
      <c r="V37" s="321"/>
      <c r="W37" s="322" t="s">
        <v>350</v>
      </c>
      <c r="X37" s="321"/>
      <c r="Y37" s="320"/>
      <c r="Z37" s="321"/>
      <c r="AA37" s="322" t="s">
        <v>356</v>
      </c>
      <c r="AB37" s="321"/>
    </row>
    <row r="38" spans="8:28">
      <c r="H38" s="296"/>
      <c r="P38" s="320" t="s">
        <v>342</v>
      </c>
      <c r="Q38" s="320"/>
      <c r="R38" s="321"/>
      <c r="S38" s="322"/>
      <c r="T38" s="321"/>
      <c r="U38" s="320"/>
      <c r="V38" s="321"/>
      <c r="W38" s="322"/>
      <c r="X38" s="321"/>
      <c r="Y38" s="320"/>
      <c r="Z38" s="321"/>
      <c r="AA38" s="322"/>
      <c r="AB38" s="321"/>
    </row>
    <row r="39" spans="8:28">
      <c r="P39" s="323" t="s">
        <v>343</v>
      </c>
      <c r="Q39" s="320"/>
      <c r="R39" s="321"/>
      <c r="S39" s="322" t="s">
        <v>306</v>
      </c>
      <c r="T39" s="321"/>
      <c r="U39" s="320"/>
      <c r="V39" s="321"/>
      <c r="W39" s="322" t="s">
        <v>351</v>
      </c>
      <c r="X39" s="321"/>
      <c r="Y39" s="320"/>
      <c r="Z39" s="321"/>
      <c r="AA39" s="322" t="s">
        <v>351</v>
      </c>
      <c r="AB39" s="321"/>
    </row>
    <row r="40" spans="8:28">
      <c r="P40" s="323" t="s">
        <v>344</v>
      </c>
      <c r="Q40" s="320"/>
      <c r="R40" s="321"/>
      <c r="S40" s="322" t="s">
        <v>401</v>
      </c>
      <c r="T40" s="321"/>
      <c r="U40" s="320"/>
      <c r="V40" s="321"/>
      <c r="W40" s="322" t="s">
        <v>352</v>
      </c>
      <c r="X40" s="321"/>
      <c r="Y40" s="320"/>
      <c r="Z40" s="321"/>
      <c r="AA40" s="322" t="s">
        <v>352</v>
      </c>
      <c r="AB40" s="321"/>
    </row>
    <row r="41" spans="8:28">
      <c r="P41" s="323" t="s">
        <v>345</v>
      </c>
      <c r="Q41" s="320"/>
      <c r="R41" s="321"/>
      <c r="S41" s="322" t="s">
        <v>307</v>
      </c>
      <c r="T41" s="321"/>
      <c r="U41" s="320"/>
      <c r="V41" s="321"/>
      <c r="W41" s="322" t="s">
        <v>353</v>
      </c>
      <c r="X41" s="321"/>
      <c r="Y41" s="320"/>
      <c r="Z41" s="321"/>
      <c r="AA41" s="322" t="s">
        <v>357</v>
      </c>
      <c r="AB41" s="321"/>
    </row>
  </sheetData>
  <mergeCells count="5">
    <mergeCell ref="V32:X32"/>
    <mergeCell ref="Z32:AB32"/>
    <mergeCell ref="A23:K23"/>
    <mergeCell ref="A21:K21"/>
    <mergeCell ref="R32:T32"/>
  </mergeCells>
  <hyperlinks>
    <hyperlink ref="P29" r:id="rId1" xr:uid="{2B37D939-C122-4E6C-9244-2717783DDD44}"/>
  </hyperlinks>
  <pageMargins left="0.7" right="0.7" top="0.75" bottom="0.75" header="0.3" footer="0.3"/>
  <pageSetup scale="90"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N103"/>
  <sheetViews>
    <sheetView workbookViewId="0">
      <selection activeCell="B180" sqref="B180"/>
    </sheetView>
  </sheetViews>
  <sheetFormatPr defaultColWidth="9.109375" defaultRowHeight="14.4"/>
  <cols>
    <col min="1" max="1" width="36.6640625" style="7" customWidth="1"/>
    <col min="2" max="2" width="5.109375" style="7" bestFit="1" customWidth="1"/>
    <col min="3" max="3" width="14.33203125" style="7" bestFit="1" customWidth="1"/>
    <col min="4" max="4" width="12.44140625" style="7" customWidth="1"/>
    <col min="5" max="5" width="17.109375" style="7" customWidth="1"/>
    <col min="6" max="6" width="16" style="7" bestFit="1" customWidth="1"/>
    <col min="7" max="7" width="14.6640625" style="7" bestFit="1" customWidth="1"/>
    <col min="8" max="8" width="16.44140625" style="7" hidden="1" customWidth="1"/>
    <col min="9" max="10" width="9.109375" style="7"/>
    <col min="11" max="11" width="11.6640625" style="7" bestFit="1" customWidth="1"/>
    <col min="12" max="12" width="29.6640625" customWidth="1"/>
    <col min="13" max="13" width="13.33203125" style="7" bestFit="1" customWidth="1"/>
    <col min="14" max="14" width="9.6640625" style="7" bestFit="1" customWidth="1"/>
    <col min="15" max="15" width="16.44140625" style="7" customWidth="1"/>
    <col min="16" max="16" width="15.44140625" style="7" customWidth="1"/>
    <col min="17" max="17" width="16.109375" style="7" customWidth="1"/>
    <col min="18" max="18" width="14.88671875" style="7" bestFit="1" customWidth="1"/>
    <col min="19" max="19" width="15.109375" style="7" bestFit="1" customWidth="1"/>
    <col min="20" max="20" width="13.33203125" style="7" bestFit="1" customWidth="1"/>
    <col min="21" max="16384" width="9.109375" style="7"/>
  </cols>
  <sheetData>
    <row r="1" spans="1:12">
      <c r="A1" s="276" t="s">
        <v>367</v>
      </c>
      <c r="J1" s="289" t="s">
        <v>387</v>
      </c>
      <c r="K1" s="289"/>
      <c r="L1" s="290"/>
    </row>
    <row r="4" spans="1:12">
      <c r="E4" s="8"/>
      <c r="F4" s="8"/>
      <c r="G4" s="8"/>
      <c r="H4" s="8"/>
    </row>
    <row r="5" spans="1:12">
      <c r="E5" s="8"/>
      <c r="H5" s="8" t="s">
        <v>120</v>
      </c>
    </row>
    <row r="6" spans="1:12">
      <c r="C6" s="240"/>
      <c r="E6" s="8"/>
      <c r="H6" s="8" t="s">
        <v>175</v>
      </c>
    </row>
    <row r="7" spans="1:12">
      <c r="C7" s="8" t="s">
        <v>54</v>
      </c>
      <c r="D7" s="8"/>
      <c r="E7" s="8"/>
      <c r="F7" s="8"/>
      <c r="G7" s="8"/>
      <c r="H7" s="8" t="s">
        <v>125</v>
      </c>
    </row>
    <row r="8" spans="1:12">
      <c r="C8" s="8" t="s">
        <v>55</v>
      </c>
      <c r="D8" s="8" t="s">
        <v>123</v>
      </c>
      <c r="E8" s="8" t="s">
        <v>122</v>
      </c>
      <c r="F8" s="8" t="s">
        <v>120</v>
      </c>
      <c r="G8" s="8" t="s">
        <v>120</v>
      </c>
      <c r="H8" s="8" t="s">
        <v>126</v>
      </c>
    </row>
    <row r="9" spans="1:12">
      <c r="B9" s="233" t="s">
        <v>56</v>
      </c>
      <c r="C9" s="277" t="s">
        <v>366</v>
      </c>
      <c r="D9" s="10" t="s">
        <v>57</v>
      </c>
      <c r="E9" s="11" t="s">
        <v>261</v>
      </c>
      <c r="F9" s="11" t="s">
        <v>121</v>
      </c>
      <c r="G9" s="11" t="s">
        <v>124</v>
      </c>
      <c r="H9" s="10" t="s">
        <v>157</v>
      </c>
    </row>
    <row r="10" spans="1:12">
      <c r="A10" s="193" t="s">
        <v>132</v>
      </c>
      <c r="B10" s="193" t="s">
        <v>58</v>
      </c>
      <c r="C10" s="287">
        <v>58481</v>
      </c>
      <c r="D10" s="12">
        <f t="shared" ref="D10:D35" si="0">C10/$C$37</f>
        <v>0.38675352159248727</v>
      </c>
      <c r="E10" s="66">
        <f>$E$48*D10</f>
        <v>-379009.55582964089</v>
      </c>
      <c r="F10" s="66">
        <f>$F$48*D10</f>
        <v>213786.90439124397</v>
      </c>
      <c r="G10" s="66">
        <f>$G$48*D10</f>
        <v>-95287.172389392232</v>
      </c>
      <c r="H10" s="66">
        <v>0</v>
      </c>
      <c r="J10" s="67"/>
    </row>
    <row r="11" spans="1:12">
      <c r="A11" s="193" t="s">
        <v>130</v>
      </c>
      <c r="B11" s="193" t="s">
        <v>58</v>
      </c>
      <c r="C11" s="287">
        <v>3141</v>
      </c>
      <c r="D11" s="12">
        <f t="shared" si="0"/>
        <v>2.0772435685470537E-2</v>
      </c>
      <c r="E11" s="66">
        <f>$E$48*D11</f>
        <v>-20356.50920574036</v>
      </c>
      <c r="F11" s="66">
        <f t="shared" ref="F11:F35" si="1">$F$48*D11</f>
        <v>11482.441591164605</v>
      </c>
      <c r="G11" s="66">
        <f t="shared" ref="G11:G35" si="2">$G$48*D11</f>
        <v>-5117.850386879174</v>
      </c>
      <c r="H11" s="66">
        <v>0</v>
      </c>
      <c r="J11" s="67"/>
    </row>
    <row r="12" spans="1:12" hidden="1">
      <c r="A12" s="193" t="s">
        <v>274</v>
      </c>
      <c r="B12" s="193" t="s">
        <v>58</v>
      </c>
      <c r="C12" s="287">
        <v>0</v>
      </c>
      <c r="D12" s="12">
        <f t="shared" si="0"/>
        <v>0</v>
      </c>
      <c r="E12" s="66">
        <f t="shared" ref="E12:E35" si="3">$E$48*D12</f>
        <v>0</v>
      </c>
      <c r="F12" s="66">
        <f t="shared" si="1"/>
        <v>0</v>
      </c>
      <c r="G12" s="66">
        <f t="shared" si="2"/>
        <v>0</v>
      </c>
      <c r="H12" s="66">
        <v>0</v>
      </c>
      <c r="J12" s="67"/>
    </row>
    <row r="13" spans="1:12" hidden="1">
      <c r="A13" s="193" t="s">
        <v>274</v>
      </c>
      <c r="B13" s="193" t="s">
        <v>58</v>
      </c>
      <c r="C13" s="287">
        <v>0</v>
      </c>
      <c r="D13" s="12">
        <f t="shared" si="0"/>
        <v>0</v>
      </c>
      <c r="E13" s="66">
        <f t="shared" si="3"/>
        <v>0</v>
      </c>
      <c r="F13" s="66">
        <f t="shared" si="1"/>
        <v>0</v>
      </c>
      <c r="G13" s="66">
        <f t="shared" si="2"/>
        <v>0</v>
      </c>
      <c r="H13" s="66">
        <v>0</v>
      </c>
      <c r="J13" s="67"/>
    </row>
    <row r="14" spans="1:12" hidden="1">
      <c r="A14" s="193" t="s">
        <v>274</v>
      </c>
      <c r="B14" s="193" t="s">
        <v>58</v>
      </c>
      <c r="C14" s="287">
        <v>0</v>
      </c>
      <c r="D14" s="12">
        <f t="shared" si="0"/>
        <v>0</v>
      </c>
      <c r="E14" s="66">
        <f t="shared" si="3"/>
        <v>0</v>
      </c>
      <c r="F14" s="66">
        <f t="shared" si="1"/>
        <v>0</v>
      </c>
      <c r="G14" s="66">
        <f t="shared" si="2"/>
        <v>0</v>
      </c>
      <c r="H14" s="66">
        <v>0</v>
      </c>
      <c r="J14" s="67"/>
    </row>
    <row r="15" spans="1:12" hidden="1">
      <c r="A15" s="193" t="s">
        <v>274</v>
      </c>
      <c r="B15" s="193" t="s">
        <v>58</v>
      </c>
      <c r="C15" s="287">
        <v>0</v>
      </c>
      <c r="D15" s="12">
        <f t="shared" si="0"/>
        <v>0</v>
      </c>
      <c r="E15" s="66">
        <f t="shared" si="3"/>
        <v>0</v>
      </c>
      <c r="F15" s="66">
        <f t="shared" si="1"/>
        <v>0</v>
      </c>
      <c r="G15" s="66">
        <f t="shared" si="2"/>
        <v>0</v>
      </c>
      <c r="H15" s="66">
        <v>0</v>
      </c>
      <c r="J15" s="67"/>
    </row>
    <row r="16" spans="1:12" ht="14.25" hidden="1" customHeight="1">
      <c r="A16" s="193" t="s">
        <v>274</v>
      </c>
      <c r="B16" s="193" t="s">
        <v>58</v>
      </c>
      <c r="C16" s="287">
        <v>0</v>
      </c>
      <c r="D16" s="12">
        <f t="shared" si="0"/>
        <v>0</v>
      </c>
      <c r="E16" s="66">
        <f t="shared" si="3"/>
        <v>0</v>
      </c>
      <c r="F16" s="66">
        <f t="shared" si="1"/>
        <v>0</v>
      </c>
      <c r="G16" s="66">
        <f t="shared" si="2"/>
        <v>0</v>
      </c>
      <c r="H16" s="66">
        <v>0</v>
      </c>
      <c r="J16" s="67"/>
    </row>
    <row r="17" spans="1:10" hidden="1">
      <c r="A17" s="193" t="s">
        <v>274</v>
      </c>
      <c r="B17" s="193" t="s">
        <v>58</v>
      </c>
      <c r="C17" s="288">
        <v>0</v>
      </c>
      <c r="D17" s="12">
        <f t="shared" si="0"/>
        <v>0</v>
      </c>
      <c r="E17" s="66">
        <f t="shared" si="3"/>
        <v>0</v>
      </c>
      <c r="F17" s="66">
        <f t="shared" si="1"/>
        <v>0</v>
      </c>
      <c r="G17" s="66">
        <f t="shared" si="2"/>
        <v>0</v>
      </c>
      <c r="H17" s="66">
        <f t="shared" ref="H17:H35" si="4">$H$37*D17</f>
        <v>0</v>
      </c>
      <c r="J17" s="67"/>
    </row>
    <row r="18" spans="1:10" hidden="1">
      <c r="A18" s="193" t="s">
        <v>274</v>
      </c>
      <c r="B18" s="193" t="s">
        <v>58</v>
      </c>
      <c r="C18" s="288">
        <v>0</v>
      </c>
      <c r="D18" s="12">
        <f t="shared" si="0"/>
        <v>0</v>
      </c>
      <c r="E18" s="66">
        <f t="shared" si="3"/>
        <v>0</v>
      </c>
      <c r="F18" s="66">
        <f t="shared" si="1"/>
        <v>0</v>
      </c>
      <c r="G18" s="66">
        <f t="shared" si="2"/>
        <v>0</v>
      </c>
      <c r="H18" s="66">
        <f t="shared" si="4"/>
        <v>0</v>
      </c>
      <c r="J18" s="67"/>
    </row>
    <row r="19" spans="1:10" hidden="1">
      <c r="A19" s="193" t="s">
        <v>274</v>
      </c>
      <c r="B19" s="193" t="s">
        <v>58</v>
      </c>
      <c r="C19" s="287">
        <v>0</v>
      </c>
      <c r="D19" s="12">
        <f t="shared" si="0"/>
        <v>0</v>
      </c>
      <c r="E19" s="66">
        <f t="shared" si="3"/>
        <v>0</v>
      </c>
      <c r="F19" s="66">
        <f t="shared" si="1"/>
        <v>0</v>
      </c>
      <c r="G19" s="66">
        <f t="shared" si="2"/>
        <v>0</v>
      </c>
      <c r="H19" s="66">
        <f t="shared" si="4"/>
        <v>0</v>
      </c>
      <c r="J19" s="67"/>
    </row>
    <row r="20" spans="1:10" hidden="1">
      <c r="A20" s="193" t="s">
        <v>274</v>
      </c>
      <c r="B20" s="193" t="s">
        <v>58</v>
      </c>
      <c r="C20" s="287">
        <v>0</v>
      </c>
      <c r="D20" s="12">
        <f t="shared" si="0"/>
        <v>0</v>
      </c>
      <c r="E20" s="66">
        <f t="shared" si="3"/>
        <v>0</v>
      </c>
      <c r="F20" s="66">
        <f t="shared" si="1"/>
        <v>0</v>
      </c>
      <c r="G20" s="66">
        <f t="shared" si="2"/>
        <v>0</v>
      </c>
      <c r="H20" s="66">
        <f t="shared" si="4"/>
        <v>0</v>
      </c>
      <c r="J20" s="67"/>
    </row>
    <row r="21" spans="1:10" hidden="1">
      <c r="A21" s="193" t="s">
        <v>274</v>
      </c>
      <c r="B21" s="193" t="s">
        <v>58</v>
      </c>
      <c r="C21" s="287">
        <v>0</v>
      </c>
      <c r="D21" s="12">
        <f t="shared" si="0"/>
        <v>0</v>
      </c>
      <c r="E21" s="66">
        <f t="shared" si="3"/>
        <v>0</v>
      </c>
      <c r="F21" s="66">
        <f t="shared" si="1"/>
        <v>0</v>
      </c>
      <c r="G21" s="66">
        <f t="shared" si="2"/>
        <v>0</v>
      </c>
      <c r="H21" s="66">
        <f t="shared" si="4"/>
        <v>0</v>
      </c>
      <c r="J21" s="67"/>
    </row>
    <row r="22" spans="1:10">
      <c r="A22" s="193" t="s">
        <v>293</v>
      </c>
      <c r="B22" s="193" t="s">
        <v>59</v>
      </c>
      <c r="C22" s="287">
        <v>61897</v>
      </c>
      <c r="D22" s="12">
        <f t="shared" si="0"/>
        <v>0.40934462006481054</v>
      </c>
      <c r="E22" s="66">
        <f t="shared" si="3"/>
        <v>-401148.31273725285</v>
      </c>
      <c r="F22" s="66">
        <f t="shared" si="1"/>
        <v>226274.65366708551</v>
      </c>
      <c r="G22" s="66">
        <f t="shared" si="2"/>
        <v>-100853.09945770782</v>
      </c>
      <c r="H22" s="66">
        <f t="shared" si="4"/>
        <v>0</v>
      </c>
      <c r="J22" s="67"/>
    </row>
    <row r="23" spans="1:10">
      <c r="A23" s="193" t="s">
        <v>294</v>
      </c>
      <c r="B23" s="193" t="s">
        <v>59</v>
      </c>
      <c r="C23" s="287">
        <v>10241</v>
      </c>
      <c r="D23" s="12">
        <f t="shared" si="0"/>
        <v>6.7727002182395343E-2</v>
      </c>
      <c r="E23" s="66">
        <f t="shared" si="3"/>
        <v>-66370.904417697238</v>
      </c>
      <c r="F23" s="66">
        <f t="shared" si="1"/>
        <v>37437.658177369223</v>
      </c>
      <c r="G23" s="66">
        <f t="shared" si="2"/>
        <v>-16686.375616692018</v>
      </c>
      <c r="H23" s="66">
        <f t="shared" si="4"/>
        <v>0</v>
      </c>
      <c r="J23" s="67"/>
    </row>
    <row r="24" spans="1:10">
      <c r="A24" s="193" t="s">
        <v>295</v>
      </c>
      <c r="B24" s="193" t="s">
        <v>59</v>
      </c>
      <c r="C24" s="287">
        <v>6896</v>
      </c>
      <c r="D24" s="12">
        <f t="shared" si="0"/>
        <v>4.5605449375041331E-2</v>
      </c>
      <c r="E24" s="66">
        <f t="shared" si="3"/>
        <v>-44692.291462204877</v>
      </c>
      <c r="F24" s="66">
        <f t="shared" si="1"/>
        <v>25209.461067389722</v>
      </c>
      <c r="G24" s="66">
        <f t="shared" si="2"/>
        <v>-11236.133800674557</v>
      </c>
      <c r="H24" s="66">
        <f t="shared" si="4"/>
        <v>0</v>
      </c>
      <c r="J24" s="67"/>
    </row>
    <row r="25" spans="1:10">
      <c r="A25" s="193" t="s">
        <v>296</v>
      </c>
      <c r="B25" s="193" t="s">
        <v>59</v>
      </c>
      <c r="C25" s="287">
        <v>10554</v>
      </c>
      <c r="D25" s="12">
        <f t="shared" si="0"/>
        <v>6.9796971099794991E-2</v>
      </c>
      <c r="E25" s="66">
        <f t="shared" si="3"/>
        <v>-68399.426347463799</v>
      </c>
      <c r="F25" s="66">
        <f t="shared" si="1"/>
        <v>38581.881105746979</v>
      </c>
      <c r="G25" s="66">
        <f t="shared" si="2"/>
        <v>-17196.368348654192</v>
      </c>
      <c r="H25" s="66">
        <f t="shared" si="4"/>
        <v>0</v>
      </c>
      <c r="J25" s="67"/>
    </row>
    <row r="26" spans="1:10" hidden="1">
      <c r="A26" s="193" t="s">
        <v>275</v>
      </c>
      <c r="B26" s="193" t="s">
        <v>59</v>
      </c>
      <c r="C26" s="64">
        <v>0</v>
      </c>
      <c r="D26" s="12">
        <f t="shared" si="0"/>
        <v>0</v>
      </c>
      <c r="E26" s="66">
        <f t="shared" si="3"/>
        <v>0</v>
      </c>
      <c r="F26" s="66">
        <f t="shared" si="1"/>
        <v>0</v>
      </c>
      <c r="G26" s="66">
        <f t="shared" si="2"/>
        <v>0</v>
      </c>
      <c r="H26" s="66">
        <f t="shared" si="4"/>
        <v>0</v>
      </c>
      <c r="J26" s="67"/>
    </row>
    <row r="27" spans="1:10" hidden="1">
      <c r="A27" s="193" t="s">
        <v>275</v>
      </c>
      <c r="B27" s="193" t="s">
        <v>59</v>
      </c>
      <c r="C27" s="64">
        <v>0</v>
      </c>
      <c r="D27" s="12">
        <f t="shared" si="0"/>
        <v>0</v>
      </c>
      <c r="E27" s="66">
        <f t="shared" si="3"/>
        <v>0</v>
      </c>
      <c r="F27" s="66">
        <f t="shared" si="1"/>
        <v>0</v>
      </c>
      <c r="G27" s="66">
        <f t="shared" si="2"/>
        <v>0</v>
      </c>
      <c r="H27" s="66">
        <f t="shared" si="4"/>
        <v>0</v>
      </c>
      <c r="J27" s="67"/>
    </row>
    <row r="28" spans="1:10" hidden="1">
      <c r="A28" s="193" t="s">
        <v>275</v>
      </c>
      <c r="B28" s="193" t="s">
        <v>59</v>
      </c>
      <c r="C28" s="64">
        <v>0</v>
      </c>
      <c r="D28" s="12">
        <f t="shared" si="0"/>
        <v>0</v>
      </c>
      <c r="E28" s="66">
        <f t="shared" si="3"/>
        <v>0</v>
      </c>
      <c r="F28" s="66">
        <f t="shared" si="1"/>
        <v>0</v>
      </c>
      <c r="G28" s="66">
        <f t="shared" si="2"/>
        <v>0</v>
      </c>
      <c r="H28" s="66">
        <f t="shared" si="4"/>
        <v>0</v>
      </c>
      <c r="J28" s="67"/>
    </row>
    <row r="29" spans="1:10" hidden="1">
      <c r="A29" s="193" t="s">
        <v>275</v>
      </c>
      <c r="B29" s="193" t="s">
        <v>59</v>
      </c>
      <c r="C29" s="64">
        <v>0</v>
      </c>
      <c r="D29" s="12">
        <f t="shared" si="0"/>
        <v>0</v>
      </c>
      <c r="E29" s="66">
        <f t="shared" si="3"/>
        <v>0</v>
      </c>
      <c r="F29" s="66">
        <f t="shared" si="1"/>
        <v>0</v>
      </c>
      <c r="G29" s="66">
        <f t="shared" si="2"/>
        <v>0</v>
      </c>
      <c r="H29" s="66">
        <f t="shared" si="4"/>
        <v>0</v>
      </c>
      <c r="J29" s="67"/>
    </row>
    <row r="30" spans="1:10" hidden="1">
      <c r="A30" s="193" t="s">
        <v>275</v>
      </c>
      <c r="B30" s="193" t="s">
        <v>59</v>
      </c>
      <c r="C30" s="64">
        <v>0</v>
      </c>
      <c r="D30" s="12">
        <f t="shared" si="0"/>
        <v>0</v>
      </c>
      <c r="E30" s="66">
        <f t="shared" si="3"/>
        <v>0</v>
      </c>
      <c r="F30" s="66">
        <f t="shared" si="1"/>
        <v>0</v>
      </c>
      <c r="G30" s="66">
        <f t="shared" si="2"/>
        <v>0</v>
      </c>
      <c r="H30" s="66">
        <f t="shared" si="4"/>
        <v>0</v>
      </c>
      <c r="J30" s="67"/>
    </row>
    <row r="31" spans="1:10" hidden="1">
      <c r="A31" s="193" t="s">
        <v>275</v>
      </c>
      <c r="B31" s="193" t="s">
        <v>59</v>
      </c>
      <c r="C31" s="64">
        <v>0</v>
      </c>
      <c r="D31" s="12">
        <f t="shared" si="0"/>
        <v>0</v>
      </c>
      <c r="E31" s="66">
        <f t="shared" si="3"/>
        <v>0</v>
      </c>
      <c r="F31" s="66">
        <f t="shared" si="1"/>
        <v>0</v>
      </c>
      <c r="G31" s="66">
        <f t="shared" si="2"/>
        <v>0</v>
      </c>
      <c r="H31" s="66">
        <f t="shared" si="4"/>
        <v>0</v>
      </c>
      <c r="J31" s="67"/>
    </row>
    <row r="32" spans="1:10" hidden="1">
      <c r="A32" s="193" t="s">
        <v>275</v>
      </c>
      <c r="B32" s="193" t="s">
        <v>59</v>
      </c>
      <c r="C32" s="64">
        <v>0</v>
      </c>
      <c r="D32" s="12">
        <f t="shared" si="0"/>
        <v>0</v>
      </c>
      <c r="E32" s="66">
        <f t="shared" si="3"/>
        <v>0</v>
      </c>
      <c r="F32" s="66">
        <f t="shared" si="1"/>
        <v>0</v>
      </c>
      <c r="G32" s="66">
        <f t="shared" si="2"/>
        <v>0</v>
      </c>
      <c r="H32" s="66">
        <f t="shared" si="4"/>
        <v>0</v>
      </c>
      <c r="J32" s="67"/>
    </row>
    <row r="33" spans="1:14" hidden="1">
      <c r="A33" s="193" t="s">
        <v>275</v>
      </c>
      <c r="B33" s="193" t="s">
        <v>59</v>
      </c>
      <c r="C33" s="64">
        <v>0</v>
      </c>
      <c r="D33" s="12">
        <f t="shared" si="0"/>
        <v>0</v>
      </c>
      <c r="E33" s="66">
        <f t="shared" si="3"/>
        <v>0</v>
      </c>
      <c r="F33" s="66">
        <f t="shared" si="1"/>
        <v>0</v>
      </c>
      <c r="G33" s="66">
        <f t="shared" si="2"/>
        <v>0</v>
      </c>
      <c r="H33" s="66">
        <f t="shared" si="4"/>
        <v>0</v>
      </c>
      <c r="J33" s="67"/>
    </row>
    <row r="34" spans="1:14" hidden="1">
      <c r="A34" s="193" t="s">
        <v>275</v>
      </c>
      <c r="B34" s="193" t="s">
        <v>59</v>
      </c>
      <c r="C34" s="64">
        <v>0</v>
      </c>
      <c r="D34" s="12">
        <f t="shared" si="0"/>
        <v>0</v>
      </c>
      <c r="E34" s="66">
        <f t="shared" si="3"/>
        <v>0</v>
      </c>
      <c r="F34" s="66">
        <f t="shared" si="1"/>
        <v>0</v>
      </c>
      <c r="G34" s="66">
        <f t="shared" si="2"/>
        <v>0</v>
      </c>
      <c r="H34" s="66">
        <f t="shared" si="4"/>
        <v>0</v>
      </c>
      <c r="J34" s="67"/>
    </row>
    <row r="35" spans="1:14" hidden="1">
      <c r="A35" s="193" t="s">
        <v>275</v>
      </c>
      <c r="B35" s="193" t="s">
        <v>59</v>
      </c>
      <c r="C35" s="67">
        <v>0</v>
      </c>
      <c r="D35" s="12">
        <f t="shared" si="0"/>
        <v>0</v>
      </c>
      <c r="E35" s="66">
        <f t="shared" si="3"/>
        <v>0</v>
      </c>
      <c r="F35" s="66">
        <f t="shared" si="1"/>
        <v>0</v>
      </c>
      <c r="G35" s="66">
        <f t="shared" si="2"/>
        <v>0</v>
      </c>
      <c r="H35" s="66">
        <f t="shared" si="4"/>
        <v>0</v>
      </c>
      <c r="J35" s="67"/>
    </row>
    <row r="36" spans="1:14">
      <c r="A36" s="193"/>
      <c r="B36" s="193"/>
      <c r="C36" s="16"/>
      <c r="D36" s="16"/>
      <c r="E36" s="16"/>
      <c r="F36" s="17"/>
      <c r="G36" s="17"/>
      <c r="H36" s="17"/>
      <c r="J36" s="67"/>
    </row>
    <row r="37" spans="1:14" ht="13.95" customHeight="1" thickBot="1">
      <c r="A37" s="7" t="s">
        <v>129</v>
      </c>
      <c r="C37" s="74">
        <f>SUM(C10:C35)</f>
        <v>151210</v>
      </c>
      <c r="D37" s="70">
        <v>1</v>
      </c>
      <c r="E37" s="74">
        <f>SUM(E10:E35)</f>
        <v>-979977</v>
      </c>
      <c r="F37" s="74">
        <f>SUM(F10:F35)</f>
        <v>552773</v>
      </c>
      <c r="G37" s="74">
        <f t="shared" ref="G37" si="5">SUM(G10:G35)</f>
        <v>-246376.99999999997</v>
      </c>
      <c r="H37" s="15">
        <f>SUM(H10:H16)</f>
        <v>0</v>
      </c>
      <c r="J37" s="67"/>
    </row>
    <row r="38" spans="1:14" ht="15" thickTop="1">
      <c r="C38" s="66"/>
      <c r="D38" s="12"/>
      <c r="E38" s="66"/>
      <c r="F38" s="66"/>
      <c r="G38" s="66"/>
      <c r="H38" s="66"/>
      <c r="J38" s="67"/>
    </row>
    <row r="39" spans="1:14">
      <c r="C39" s="66"/>
      <c r="D39" s="12"/>
      <c r="E39" s="66"/>
      <c r="F39" s="66"/>
      <c r="G39" s="66"/>
      <c r="H39" s="66"/>
      <c r="J39" s="67"/>
    </row>
    <row r="40" spans="1:14">
      <c r="A40" s="7" t="s">
        <v>131</v>
      </c>
      <c r="B40" s="7" t="s">
        <v>58</v>
      </c>
      <c r="C40" s="66">
        <f t="shared" ref="C40:H41" si="6">SUMIF($B$10:$B$35,$B40,C$10:C$35)</f>
        <v>61622</v>
      </c>
      <c r="D40" s="12">
        <f t="shared" si="6"/>
        <v>0.40752595727795782</v>
      </c>
      <c r="E40" s="66">
        <f t="shared" si="6"/>
        <v>-399366.06503538124</v>
      </c>
      <c r="F40" s="66">
        <f>SUMIF($B$10:$B$35,$B40,F$10:F$35)</f>
        <v>225269.34598240856</v>
      </c>
      <c r="G40" s="66">
        <f t="shared" si="6"/>
        <v>-100405.02277627141</v>
      </c>
      <c r="H40" s="66">
        <f t="shared" si="6"/>
        <v>0</v>
      </c>
      <c r="I40" s="67"/>
      <c r="J40" s="67"/>
    </row>
    <row r="41" spans="1:14">
      <c r="A41" s="7" t="s">
        <v>158</v>
      </c>
      <c r="B41" s="7" t="s">
        <v>59</v>
      </c>
      <c r="C41" s="66">
        <f t="shared" si="6"/>
        <v>89588</v>
      </c>
      <c r="D41" s="12">
        <f t="shared" si="6"/>
        <v>0.59247404272204218</v>
      </c>
      <c r="E41" s="66">
        <f t="shared" si="6"/>
        <v>-580610.93496461876</v>
      </c>
      <c r="F41" s="66">
        <f t="shared" si="6"/>
        <v>327503.65401759138</v>
      </c>
      <c r="G41" s="66">
        <f t="shared" si="6"/>
        <v>-145971.97722372858</v>
      </c>
      <c r="H41" s="66">
        <f t="shared" si="6"/>
        <v>0</v>
      </c>
      <c r="J41" s="67"/>
    </row>
    <row r="42" spans="1:14">
      <c r="C42" s="68"/>
      <c r="D42" s="73"/>
      <c r="E42" s="68"/>
      <c r="F42" s="68"/>
      <c r="G42" s="68"/>
      <c r="H42" s="68"/>
      <c r="J42" s="67"/>
    </row>
    <row r="43" spans="1:14" ht="15" thickBot="1">
      <c r="C43" s="74">
        <f>SUM(C40:C41)</f>
        <v>151210</v>
      </c>
      <c r="D43" s="70">
        <f t="shared" ref="D43:H43" si="7">SUM(D40:D41)</f>
        <v>1</v>
      </c>
      <c r="E43" s="74">
        <f t="shared" si="7"/>
        <v>-979977</v>
      </c>
      <c r="F43" s="74">
        <f t="shared" si="7"/>
        <v>552773</v>
      </c>
      <c r="G43" s="74">
        <f t="shared" si="7"/>
        <v>-246377</v>
      </c>
      <c r="H43" s="74">
        <f t="shared" si="7"/>
        <v>0</v>
      </c>
      <c r="J43" s="67"/>
    </row>
    <row r="44" spans="1:14" ht="15" thickTop="1">
      <c r="C44" s="67"/>
      <c r="D44" s="12"/>
      <c r="E44" s="67"/>
      <c r="F44" s="67"/>
      <c r="G44" s="67"/>
      <c r="H44" s="67"/>
    </row>
    <row r="45" spans="1:14">
      <c r="C45" s="75">
        <f>C37-C43</f>
        <v>0</v>
      </c>
      <c r="D45" s="75">
        <f t="shared" ref="D45:H45" si="8">D37-D43</f>
        <v>0</v>
      </c>
      <c r="E45" s="75">
        <f t="shared" si="8"/>
        <v>0</v>
      </c>
      <c r="F45" s="75">
        <f t="shared" si="8"/>
        <v>0</v>
      </c>
      <c r="G45" s="75">
        <f t="shared" si="8"/>
        <v>0</v>
      </c>
      <c r="H45" s="75">
        <f t="shared" si="8"/>
        <v>0</v>
      </c>
    </row>
    <row r="46" spans="1:14">
      <c r="E46" s="7" t="s">
        <v>211</v>
      </c>
      <c r="F46" s="7" t="s">
        <v>212</v>
      </c>
      <c r="G46" s="7" t="s">
        <v>213</v>
      </c>
    </row>
    <row r="47" spans="1:14">
      <c r="B47" s="82" t="s">
        <v>259</v>
      </c>
      <c r="C47" s="9"/>
      <c r="D47" s="278" t="s">
        <v>326</v>
      </c>
      <c r="E47" s="207">
        <f>'Lead Sheet'!E46</f>
        <v>-1187763</v>
      </c>
      <c r="F47" s="208">
        <f>'Lead Sheet'!E47</f>
        <v>527390.00000000012</v>
      </c>
      <c r="G47" s="208">
        <f>'Lead Sheet'!E48</f>
        <v>-15926.000000000002</v>
      </c>
      <c r="J47" s="139"/>
      <c r="K47" s="252"/>
      <c r="M47" s="149"/>
    </row>
    <row r="48" spans="1:14">
      <c r="B48" s="82"/>
      <c r="C48" s="9"/>
      <c r="D48" s="278" t="s">
        <v>368</v>
      </c>
      <c r="E48" s="13">
        <f>-'State Schedule'!D13</f>
        <v>-979977</v>
      </c>
      <c r="F48" s="67">
        <f>'State Schedule'!C31+'State Schedule'!C32</f>
        <v>552773</v>
      </c>
      <c r="G48" s="67">
        <f>-'State Schedule'!D31</f>
        <v>-246377</v>
      </c>
      <c r="J48" s="139"/>
      <c r="K48" s="252"/>
      <c r="M48" s="253"/>
      <c r="N48" s="250"/>
    </row>
    <row r="49" spans="1:14" ht="15" thickBot="1">
      <c r="C49" s="9"/>
      <c r="D49" s="39" t="s">
        <v>127</v>
      </c>
      <c r="E49" s="238">
        <f>E48-E47</f>
        <v>207786</v>
      </c>
      <c r="F49" s="238">
        <f t="shared" ref="F49:H49" si="9">F48-F47</f>
        <v>25382.999999999884</v>
      </c>
      <c r="G49" s="238">
        <f t="shared" si="9"/>
        <v>-230451</v>
      </c>
      <c r="H49" s="238">
        <f t="shared" si="9"/>
        <v>0</v>
      </c>
      <c r="M49" s="14"/>
    </row>
    <row r="50" spans="1:14" ht="15" thickTop="1">
      <c r="C50" s="9"/>
      <c r="D50" s="39"/>
      <c r="E50" s="210"/>
      <c r="F50" s="210"/>
      <c r="G50" s="210"/>
    </row>
    <row r="51" spans="1:14">
      <c r="A51" s="233"/>
      <c r="C51" s="9"/>
      <c r="D51" s="39"/>
      <c r="E51" s="13"/>
      <c r="J51" s="7" t="s">
        <v>290</v>
      </c>
    </row>
    <row r="52" spans="1:14">
      <c r="A52" s="233"/>
      <c r="C52" s="9"/>
      <c r="D52" s="39"/>
      <c r="E52" s="13"/>
      <c r="J52" s="139" t="s">
        <v>231</v>
      </c>
      <c r="M52" s="149">
        <f>183483-25611</f>
        <v>157872</v>
      </c>
    </row>
    <row r="53" spans="1:14">
      <c r="A53" s="233"/>
      <c r="E53" s="13"/>
      <c r="J53" s="7" t="s">
        <v>257</v>
      </c>
      <c r="M53" s="67">
        <f>'From PERS'!A235</f>
        <v>157162</v>
      </c>
    </row>
    <row r="54" spans="1:14">
      <c r="A54" s="7" t="s">
        <v>167</v>
      </c>
      <c r="M54" s="204">
        <f>M52-M53</f>
        <v>710</v>
      </c>
      <c r="N54" s="250" t="s">
        <v>246</v>
      </c>
    </row>
    <row r="55" spans="1:14">
      <c r="A55" s="7" t="str">
        <f>A22</f>
        <v>Electric</v>
      </c>
      <c r="C55" s="81" t="s">
        <v>118</v>
      </c>
      <c r="D55" s="81" t="s">
        <v>119</v>
      </c>
      <c r="F55" s="78"/>
    </row>
    <row r="56" spans="1:14">
      <c r="A56" s="77" t="s">
        <v>166</v>
      </c>
      <c r="C56" s="67">
        <f>IF('Lead Sheet'!G16&gt;0,'Lead Sheet'!G16,0)</f>
        <v>12177.60220566747</v>
      </c>
      <c r="D56" s="67">
        <f>IF('Lead Sheet'!G16&lt;0,-'Lead Sheet'!G16,0)</f>
        <v>0</v>
      </c>
      <c r="J56" s="7" t="s">
        <v>289</v>
      </c>
      <c r="L56" s="7"/>
      <c r="M56" s="14"/>
    </row>
    <row r="57" spans="1:14">
      <c r="A57" s="77" t="s">
        <v>168</v>
      </c>
      <c r="C57" s="67">
        <f>IF('Lead Sheet'!G17&gt;0,'Lead Sheet'!G17,0)</f>
        <v>42749.864393681026</v>
      </c>
      <c r="D57" s="67">
        <f>IF('Lead Sheet'!G17&lt;0,-'Lead Sheet'!G17,0)</f>
        <v>0</v>
      </c>
      <c r="J57" s="264" t="s">
        <v>264</v>
      </c>
      <c r="L57" s="7"/>
      <c r="M57" s="14">
        <f>'State Schedule'!D22</f>
        <v>175470</v>
      </c>
    </row>
    <row r="58" spans="1:14">
      <c r="A58" s="77" t="s">
        <v>169</v>
      </c>
      <c r="C58" s="67">
        <f>IF('Lead Sheet'!G18&gt;0,'Lead Sheet'!G18,0)</f>
        <v>0</v>
      </c>
      <c r="D58" s="67">
        <f>IF('Lead Sheet'!G18&lt;0,-'Lead Sheet'!G18,0)</f>
        <v>95311.060750170247</v>
      </c>
      <c r="J58" s="7" t="s">
        <v>304</v>
      </c>
      <c r="L58" s="7"/>
      <c r="M58" s="14">
        <f>M54</f>
        <v>710</v>
      </c>
      <c r="N58" s="250" t="s">
        <v>246</v>
      </c>
    </row>
    <row r="59" spans="1:14" ht="13.5" customHeight="1">
      <c r="A59" s="77" t="s">
        <v>164</v>
      </c>
      <c r="C59" s="67">
        <f>IF('Lead Sheet'!G19&gt;0,'Lead Sheet'!G19,0)</f>
        <v>40383.594150821751</v>
      </c>
      <c r="D59" s="67">
        <f>IF('Lead Sheet'!G19&lt;0,-'Lead Sheet'!G19,0)</f>
        <v>0</v>
      </c>
      <c r="J59" s="265" t="s">
        <v>52</v>
      </c>
      <c r="L59" s="7"/>
      <c r="M59" s="251">
        <f>-'State Schedule'!C32</f>
        <v>-178898</v>
      </c>
      <c r="N59" s="250"/>
    </row>
    <row r="60" spans="1:14" ht="15" thickBot="1">
      <c r="C60" s="65"/>
      <c r="D60" s="65"/>
      <c r="J60" s="7" t="s">
        <v>288</v>
      </c>
      <c r="L60" s="7"/>
      <c r="M60" s="80">
        <f>SUM(M57:M59)</f>
        <v>-2718</v>
      </c>
      <c r="N60" s="75">
        <f>M60-'Lead Sheet'!G49</f>
        <v>-2.9103830456733704E-11</v>
      </c>
    </row>
    <row r="61" spans="1:14" ht="15.6" thickTop="1" thickBot="1">
      <c r="C61" s="74">
        <f>SUM(C56:C59)</f>
        <v>95311.060750170247</v>
      </c>
      <c r="D61" s="74">
        <f>SUM(D56:D59)</f>
        <v>95311.060750170247</v>
      </c>
      <c r="E61" s="75">
        <f>C61-D61</f>
        <v>0</v>
      </c>
      <c r="L61" s="7"/>
    </row>
    <row r="62" spans="1:14" ht="15" thickTop="1">
      <c r="N62" s="256"/>
    </row>
    <row r="63" spans="1:14">
      <c r="A63" s="7" t="str">
        <f>A23</f>
        <v>Emergency Services</v>
      </c>
      <c r="C63" s="81" t="s">
        <v>118</v>
      </c>
      <c r="D63" s="81" t="s">
        <v>119</v>
      </c>
    </row>
    <row r="64" spans="1:14">
      <c r="A64" s="77" t="s">
        <v>166</v>
      </c>
      <c r="C64" s="67">
        <f>IF('Lead Sheet'!G22&gt;0,'Lead Sheet'!G22,0)</f>
        <v>71395.527747746572</v>
      </c>
      <c r="D64" s="67">
        <f>IF('Lead Sheet'!G22&lt;0,-'Lead Sheet'!G22,0)</f>
        <v>0</v>
      </c>
    </row>
    <row r="65" spans="1:5">
      <c r="A65" s="77" t="s">
        <v>168</v>
      </c>
      <c r="C65" s="67">
        <f>IF('Lead Sheet'!G23&gt;0,'Lead Sheet'!G23,0)</f>
        <v>0</v>
      </c>
      <c r="D65" s="67">
        <f>IF('Lead Sheet'!G23&lt;0,-'Lead Sheet'!G23,0)</f>
        <v>23733.331876819539</v>
      </c>
    </row>
    <row r="66" spans="1:5">
      <c r="A66" s="77" t="s">
        <v>169</v>
      </c>
      <c r="C66" s="67">
        <f>IF('Lead Sheet'!G24&gt;0,'Lead Sheet'!G24,0)</f>
        <v>0</v>
      </c>
      <c r="D66" s="67">
        <f>IF('Lead Sheet'!G24&lt;0,-'Lead Sheet'!G24,0)</f>
        <v>14839.14835109538</v>
      </c>
    </row>
    <row r="67" spans="1:5">
      <c r="A67" s="77" t="s">
        <v>164</v>
      </c>
      <c r="C67" s="67">
        <f>IF('Lead Sheet'!G25&gt;0,'Lead Sheet'!G25,0)</f>
        <v>0</v>
      </c>
      <c r="D67" s="67">
        <f>IF('Lead Sheet'!G25&lt;0,-'Lead Sheet'!G25,0)</f>
        <v>32823.047519831656</v>
      </c>
    </row>
    <row r="68" spans="1:5">
      <c r="C68" s="65"/>
      <c r="D68" s="65"/>
    </row>
    <row r="69" spans="1:5" ht="15" thickBot="1">
      <c r="C69" s="74">
        <f>SUM(C64:C67)</f>
        <v>71395.527747746572</v>
      </c>
      <c r="D69" s="74">
        <f>SUM(D64:D67)</f>
        <v>71395.527747746572</v>
      </c>
      <c r="E69" s="75">
        <f>C69-D69</f>
        <v>0</v>
      </c>
    </row>
    <row r="70" spans="1:5" ht="15" thickTop="1"/>
    <row r="71" spans="1:5">
      <c r="A71" s="7" t="str">
        <f>A24</f>
        <v>Sewer</v>
      </c>
      <c r="C71" s="81" t="s">
        <v>118</v>
      </c>
      <c r="D71" s="81" t="s">
        <v>119</v>
      </c>
    </row>
    <row r="72" spans="1:5">
      <c r="A72" s="77" t="s">
        <v>166</v>
      </c>
      <c r="C72" s="67">
        <f>IF('Lead Sheet'!G28&gt;0,'Lead Sheet'!G28,0)</f>
        <v>0</v>
      </c>
      <c r="D72" s="67">
        <f>IF('Lead Sheet'!G28&lt;0,-'Lead Sheet'!G28,0)</f>
        <v>2821.4749778855548</v>
      </c>
    </row>
    <row r="73" spans="1:5">
      <c r="A73" s="77" t="s">
        <v>168</v>
      </c>
      <c r="C73" s="67">
        <f>IF('Lead Sheet'!G29&gt;0,'Lead Sheet'!G29,0)</f>
        <v>6617.9997189008682</v>
      </c>
      <c r="D73" s="67">
        <f>IF('Lead Sheet'!G29&lt;0,-'Lead Sheet'!G29,0)</f>
        <v>0</v>
      </c>
    </row>
    <row r="74" spans="1:5">
      <c r="A74" s="77" t="s">
        <v>169</v>
      </c>
      <c r="C74" s="67">
        <f>IF('Lead Sheet'!G30&gt;0,'Lead Sheet'!G30,0)</f>
        <v>0</v>
      </c>
      <c r="D74" s="67">
        <f>IF('Lead Sheet'!G30&lt;0,-'Lead Sheet'!G30,0)</f>
        <v>10674.713194603086</v>
      </c>
    </row>
    <row r="75" spans="1:5">
      <c r="A75" s="77" t="s">
        <v>164</v>
      </c>
      <c r="C75" s="67">
        <f>IF('Lead Sheet'!G31&gt;0,'Lead Sheet'!G31,0)</f>
        <v>6878.1884535877725</v>
      </c>
      <c r="D75" s="67">
        <f>IF('Lead Sheet'!G31&lt;0,-'Lead Sheet'!G31,0)</f>
        <v>0</v>
      </c>
    </row>
    <row r="76" spans="1:5">
      <c r="C76" s="65"/>
      <c r="D76" s="65"/>
    </row>
    <row r="77" spans="1:5" ht="15" thickBot="1">
      <c r="C77" s="74">
        <f>SUM(C72:C75)</f>
        <v>13496.188172488641</v>
      </c>
      <c r="D77" s="74">
        <f>SUM(D72:D75)</f>
        <v>13496.188172488641</v>
      </c>
      <c r="E77" s="75">
        <f>C77-D77</f>
        <v>0</v>
      </c>
    </row>
    <row r="78" spans="1:5" ht="15" thickTop="1"/>
    <row r="79" spans="1:5">
      <c r="A79" s="7" t="str">
        <f>A25</f>
        <v>Water</v>
      </c>
      <c r="C79" s="81" t="s">
        <v>118</v>
      </c>
      <c r="D79" s="81" t="s">
        <v>119</v>
      </c>
    </row>
    <row r="80" spans="1:5">
      <c r="A80" s="77" t="s">
        <v>166</v>
      </c>
      <c r="C80" s="67">
        <f>IF('Lead Sheet'!G34&gt;0,'Lead Sheet'!G34,0)</f>
        <v>0</v>
      </c>
      <c r="D80" s="67">
        <f>IF('Lead Sheet'!G34&lt;0,-'Lead Sheet'!G34,0)</f>
        <v>4312.8543400593408</v>
      </c>
    </row>
    <row r="81" spans="1:5">
      <c r="A81" s="77" t="s">
        <v>168</v>
      </c>
      <c r="C81" s="67">
        <f>IF('Lead Sheet'!G35&gt;0,'Lead Sheet'!G35,0)</f>
        <v>10126.189851696268</v>
      </c>
      <c r="D81" s="67">
        <f>IF('Lead Sheet'!G35&lt;0,-'Lead Sheet'!G35,0)</f>
        <v>0</v>
      </c>
    </row>
    <row r="82" spans="1:5">
      <c r="A82" s="77" t="s">
        <v>169</v>
      </c>
      <c r="C82" s="67">
        <f>IF('Lead Sheet'!G36&gt;0,'Lead Sheet'!G36,0)</f>
        <v>0</v>
      </c>
      <c r="D82" s="67">
        <f>IF('Lead Sheet'!G36&lt;0,-'Lead Sheet'!G36,0)</f>
        <v>16337.070032584468</v>
      </c>
    </row>
    <row r="83" spans="1:5">
      <c r="A83" s="77" t="s">
        <v>164</v>
      </c>
      <c r="C83" s="67">
        <f>IF('Lead Sheet'!G37&gt;0,'Lead Sheet'!G37,0)</f>
        <v>10523.734520947541</v>
      </c>
      <c r="D83" s="67">
        <f>IF('Lead Sheet'!G37&lt;0,-'Lead Sheet'!G37,0)</f>
        <v>0</v>
      </c>
    </row>
    <row r="84" spans="1:5">
      <c r="C84" s="65"/>
      <c r="D84" s="65"/>
    </row>
    <row r="85" spans="1:5" ht="15" thickBot="1">
      <c r="C85" s="74">
        <f>SUM(C80:C83)</f>
        <v>20649.924372643807</v>
      </c>
      <c r="D85" s="74">
        <f>SUM(D80:D83)</f>
        <v>20649.924372643807</v>
      </c>
      <c r="E85" s="75">
        <f>C85-D85</f>
        <v>0</v>
      </c>
    </row>
    <row r="86" spans="1:5" ht="15" thickTop="1"/>
    <row r="87" spans="1:5">
      <c r="A87" s="7" t="str">
        <f>A26</f>
        <v>For additional enterprise funds</v>
      </c>
      <c r="C87" s="81" t="s">
        <v>118</v>
      </c>
      <c r="D87" s="81" t="s">
        <v>119</v>
      </c>
    </row>
    <row r="88" spans="1:5">
      <c r="A88" s="77" t="s">
        <v>166</v>
      </c>
      <c r="C88" s="67">
        <f>IF('Lead Sheet'!G40&gt;0,'Lead Sheet'!G40,0)</f>
        <v>0</v>
      </c>
      <c r="D88" s="67">
        <f>IF('Lead Sheet'!G40&lt;0,-'Lead Sheet'!G40,0)</f>
        <v>0</v>
      </c>
    </row>
    <row r="89" spans="1:5">
      <c r="A89" s="77" t="s">
        <v>168</v>
      </c>
      <c r="C89" s="67">
        <f>IF('Lead Sheet'!G41&gt;0,'Lead Sheet'!G41,0)</f>
        <v>0</v>
      </c>
      <c r="D89" s="67">
        <f>IF('Lead Sheet'!G41&lt;0,-'Lead Sheet'!G41,0)</f>
        <v>0</v>
      </c>
    </row>
    <row r="90" spans="1:5">
      <c r="A90" s="77" t="s">
        <v>169</v>
      </c>
      <c r="C90" s="67">
        <f>IF('Lead Sheet'!G42&gt;0,'Lead Sheet'!G42,0)</f>
        <v>0</v>
      </c>
      <c r="D90" s="67">
        <f>IF('Lead Sheet'!G42&lt;0,-'Lead Sheet'!G42,0)</f>
        <v>0</v>
      </c>
    </row>
    <row r="91" spans="1:5">
      <c r="A91" s="77" t="s">
        <v>164</v>
      </c>
      <c r="C91" s="67">
        <f>IF('Lead Sheet'!G43&gt;0,'Lead Sheet'!G43,0)</f>
        <v>0</v>
      </c>
      <c r="D91" s="67">
        <f>IF('Lead Sheet'!G43&lt;0,-'Lead Sheet'!G43,0)</f>
        <v>0</v>
      </c>
    </row>
    <row r="92" spans="1:5">
      <c r="C92" s="65"/>
      <c r="D92" s="65"/>
    </row>
    <row r="93" spans="1:5" ht="15" thickBot="1">
      <c r="C93" s="74">
        <f>SUM(C88:C91)</f>
        <v>0</v>
      </c>
      <c r="D93" s="74">
        <f>SUM(D88:D91)</f>
        <v>0</v>
      </c>
      <c r="E93" s="75">
        <f>C93-D93</f>
        <v>0</v>
      </c>
    </row>
    <row r="94" spans="1:5" ht="15" thickTop="1"/>
    <row r="95" spans="1:5">
      <c r="A95" s="7" t="s">
        <v>165</v>
      </c>
    </row>
    <row r="96" spans="1:5">
      <c r="C96" s="81" t="s">
        <v>118</v>
      </c>
      <c r="D96" s="81" t="s">
        <v>119</v>
      </c>
    </row>
    <row r="97" spans="1:5">
      <c r="A97" s="77" t="s">
        <v>163</v>
      </c>
      <c r="C97" s="67">
        <f>IF('Lead Sheet'!G10&gt;0,'Lead Sheet'!G10,0)</f>
        <v>131347.19936453085</v>
      </c>
      <c r="D97" s="67">
        <f>IF('Lead Sheet'!G10&lt;0,-'Lead Sheet'!G10,0)</f>
        <v>0</v>
      </c>
    </row>
    <row r="98" spans="1:5">
      <c r="A98" s="77" t="s">
        <v>168</v>
      </c>
      <c r="C98" s="67">
        <f>IF('Lead Sheet'!G11&gt;0,'Lead Sheet'!G11,0)</f>
        <v>0</v>
      </c>
      <c r="D98" s="67">
        <f>IF('Lead Sheet'!G11&lt;0,-'Lead Sheet'!G11,0)</f>
        <v>10377.722087458649</v>
      </c>
    </row>
    <row r="99" spans="1:5">
      <c r="A99" s="77" t="s">
        <v>169</v>
      </c>
      <c r="C99" s="67">
        <f>IF('Lead Sheet'!G12&gt;0,'Lead Sheet'!G12,0)</f>
        <v>0</v>
      </c>
      <c r="D99" s="67">
        <f>IF('Lead Sheet'!G12&lt;0,-'Lead Sheet'!G12,0)</f>
        <v>93289.007671546802</v>
      </c>
    </row>
    <row r="100" spans="1:5">
      <c r="A100" s="77" t="s">
        <v>164</v>
      </c>
      <c r="C100" s="67">
        <f>IF('Lead Sheet'!G13&gt;0,'Lead Sheet'!G13,0)</f>
        <v>0</v>
      </c>
      <c r="D100" s="67">
        <f>IF('Lead Sheet'!G13&lt;0,-'Lead Sheet'!G13,0)</f>
        <v>27680.469605525403</v>
      </c>
    </row>
    <row r="101" spans="1:5">
      <c r="A101" s="77"/>
      <c r="C101" s="79"/>
      <c r="D101" s="79"/>
    </row>
    <row r="102" spans="1:5" ht="15" thickBot="1">
      <c r="C102" s="80">
        <f>SUM(C97:C100)</f>
        <v>131347.19936453085</v>
      </c>
      <c r="D102" s="80">
        <f>SUM(D97:D100)</f>
        <v>131347.19936453085</v>
      </c>
      <c r="E102" s="75">
        <f>C102-D102</f>
        <v>0</v>
      </c>
    </row>
    <row r="103" spans="1:5" ht="15" thickTop="1"/>
  </sheetData>
  <pageMargins left="0.7" right="0.7" top="0.75" bottom="0.75" header="0.3" footer="0.3"/>
  <pageSetup scale="68"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K53"/>
  <sheetViews>
    <sheetView workbookViewId="0">
      <selection activeCell="D28" sqref="D28"/>
    </sheetView>
  </sheetViews>
  <sheetFormatPr defaultColWidth="9.109375" defaultRowHeight="13.8"/>
  <cols>
    <col min="1" max="1" width="41.44140625" style="47" customWidth="1"/>
    <col min="2" max="2" width="21.88671875" style="47" customWidth="1"/>
    <col min="3" max="3" width="19" style="47" customWidth="1"/>
    <col min="4" max="4" width="18.6640625" style="47" customWidth="1"/>
    <col min="5" max="5" width="9.5546875" style="224" hidden="1" customWidth="1"/>
    <col min="6" max="6" width="9.5546875" style="224" customWidth="1"/>
    <col min="7" max="7" width="10.6640625" style="47" bestFit="1" customWidth="1"/>
    <col min="8" max="8" width="9.109375" style="47"/>
    <col min="9" max="9" width="18" style="47" bestFit="1" customWidth="1"/>
    <col min="10" max="10" width="9.109375" style="47"/>
    <col min="11" max="11" width="27.5546875" style="47" customWidth="1"/>
    <col min="12" max="16384" width="9.109375" style="47"/>
  </cols>
  <sheetData>
    <row r="1" spans="1:8" ht="12.9" customHeight="1">
      <c r="A1" s="345" t="s">
        <v>133</v>
      </c>
      <c r="B1" s="345"/>
      <c r="C1" s="345"/>
      <c r="D1" s="345"/>
      <c r="E1" s="213"/>
      <c r="F1" s="213"/>
      <c r="H1" s="47" t="s">
        <v>305</v>
      </c>
    </row>
    <row r="2" spans="1:8" ht="12.9" customHeight="1">
      <c r="A2" s="345" t="s">
        <v>134</v>
      </c>
      <c r="B2" s="345"/>
      <c r="C2" s="345"/>
      <c r="D2" s="345"/>
      <c r="E2" s="213"/>
      <c r="F2" s="213"/>
      <c r="H2" s="257" t="s">
        <v>323</v>
      </c>
    </row>
    <row r="3" spans="1:8" ht="12.9" customHeight="1">
      <c r="A3" s="345" t="s">
        <v>268</v>
      </c>
      <c r="B3" s="345"/>
      <c r="C3" s="345"/>
      <c r="D3" s="345"/>
      <c r="E3" s="213"/>
      <c r="F3" s="213"/>
    </row>
    <row r="4" spans="1:8" ht="12.9" customHeight="1">
      <c r="A4" s="48"/>
      <c r="B4" s="48"/>
      <c r="C4" s="48"/>
      <c r="D4" s="48"/>
      <c r="E4" s="213"/>
      <c r="F4" s="213"/>
    </row>
    <row r="5" spans="1:8">
      <c r="A5" s="47" t="s">
        <v>135</v>
      </c>
      <c r="D5" s="123">
        <v>43281</v>
      </c>
      <c r="E5" s="214"/>
      <c r="F5" s="214"/>
    </row>
    <row r="6" spans="1:8">
      <c r="D6" s="49"/>
      <c r="E6" s="215"/>
      <c r="F6" s="215"/>
    </row>
    <row r="7" spans="1:8">
      <c r="A7" s="50" t="s">
        <v>48</v>
      </c>
      <c r="B7" s="50"/>
      <c r="D7" s="123">
        <v>42735</v>
      </c>
      <c r="E7" s="214"/>
      <c r="F7" s="214"/>
    </row>
    <row r="8" spans="1:8">
      <c r="A8" s="47" t="s">
        <v>49</v>
      </c>
      <c r="D8" s="157">
        <v>7.1999999999999995E-2</v>
      </c>
      <c r="E8" s="216"/>
      <c r="F8" s="216"/>
    </row>
    <row r="9" spans="1:8">
      <c r="A9" s="47" t="s">
        <v>136</v>
      </c>
      <c r="D9" s="158">
        <v>8.8112699999999994E-5</v>
      </c>
      <c r="E9" s="217"/>
      <c r="F9" s="217"/>
      <c r="G9" s="51">
        <f>D9-'From PERS'!A163</f>
        <v>0</v>
      </c>
    </row>
    <row r="10" spans="1:8">
      <c r="A10" s="47" t="s">
        <v>137</v>
      </c>
      <c r="D10" s="158">
        <v>6.4690599999999994E-5</v>
      </c>
      <c r="E10" s="217"/>
      <c r="F10" s="217"/>
      <c r="G10" s="51">
        <f>D10-'From PERS'!A164</f>
        <v>0</v>
      </c>
    </row>
    <row r="11" spans="1:8">
      <c r="D11" s="159"/>
      <c r="E11" s="218"/>
      <c r="F11" s="218"/>
      <c r="G11" s="52"/>
    </row>
    <row r="12" spans="1:8">
      <c r="A12" s="47" t="s">
        <v>138</v>
      </c>
      <c r="D12" s="161">
        <v>1187763</v>
      </c>
      <c r="E12" s="219"/>
      <c r="F12" s="219"/>
      <c r="G12" s="51">
        <f>D12-'From PERS'!A165</f>
        <v>0</v>
      </c>
    </row>
    <row r="13" spans="1:8">
      <c r="A13" s="47" t="s">
        <v>139</v>
      </c>
      <c r="D13" s="161">
        <v>979977</v>
      </c>
      <c r="E13" s="219"/>
      <c r="G13" s="51">
        <f>D13-'From PERS'!A166</f>
        <v>0</v>
      </c>
    </row>
    <row r="14" spans="1:8">
      <c r="A14" s="47" t="s">
        <v>140</v>
      </c>
      <c r="D14" s="161">
        <v>1637727</v>
      </c>
      <c r="E14" s="219"/>
      <c r="F14" s="219"/>
      <c r="G14" s="52"/>
    </row>
    <row r="15" spans="1:8">
      <c r="A15" s="47" t="s">
        <v>141</v>
      </c>
      <c r="D15" s="161">
        <v>437059</v>
      </c>
      <c r="E15" s="219"/>
      <c r="F15" s="219"/>
      <c r="G15" s="52"/>
    </row>
    <row r="16" spans="1:8">
      <c r="D16" s="161"/>
      <c r="E16" s="219"/>
      <c r="F16" s="219"/>
      <c r="G16" s="52"/>
    </row>
    <row r="17" spans="1:8">
      <c r="A17" s="47" t="s">
        <v>142</v>
      </c>
      <c r="D17" s="161"/>
      <c r="E17" s="219"/>
      <c r="F17" s="219"/>
      <c r="G17" s="52"/>
    </row>
    <row r="18" spans="1:8">
      <c r="A18" s="50" t="s">
        <v>263</v>
      </c>
      <c r="D18" s="161">
        <v>190322</v>
      </c>
      <c r="E18" s="219"/>
      <c r="F18" s="219"/>
      <c r="G18" s="51">
        <f>D18-'From PERS'!A181</f>
        <v>0</v>
      </c>
    </row>
    <row r="19" spans="1:8">
      <c r="A19" s="47" t="s">
        <v>143</v>
      </c>
      <c r="D19" s="161"/>
      <c r="E19" s="219"/>
      <c r="F19" s="219"/>
    </row>
    <row r="20" spans="1:8">
      <c r="A20" s="53" t="s">
        <v>370</v>
      </c>
      <c r="B20" s="53"/>
      <c r="C20" s="53"/>
      <c r="D20" s="161">
        <v>-48264</v>
      </c>
      <c r="E20" s="219"/>
      <c r="F20" s="219"/>
      <c r="G20" s="124"/>
    </row>
    <row r="21" spans="1:8" ht="60" customHeight="1">
      <c r="A21" s="347" t="s">
        <v>371</v>
      </c>
      <c r="B21" s="347"/>
      <c r="C21" s="54"/>
      <c r="D21" s="160">
        <v>33412</v>
      </c>
      <c r="E21" s="220"/>
      <c r="F21" s="220"/>
      <c r="G21" s="52"/>
    </row>
    <row r="22" spans="1:8">
      <c r="A22" s="50" t="s">
        <v>264</v>
      </c>
      <c r="D22" s="161">
        <f>SUM(D18:D21)</f>
        <v>175470</v>
      </c>
      <c r="E22" s="219"/>
      <c r="F22" s="219"/>
      <c r="G22" s="51">
        <f>D22-'From PERS'!A184</f>
        <v>0</v>
      </c>
    </row>
    <row r="23" spans="1:8">
      <c r="D23" s="55"/>
      <c r="E23" s="219"/>
      <c r="F23" s="219"/>
      <c r="G23" s="52"/>
    </row>
    <row r="24" spans="1:8">
      <c r="C24" s="56" t="s">
        <v>144</v>
      </c>
      <c r="D24" s="57" t="s">
        <v>145</v>
      </c>
      <c r="E24" s="221"/>
      <c r="F24" s="221"/>
      <c r="G24" s="52"/>
    </row>
    <row r="25" spans="1:8">
      <c r="C25" s="58" t="s">
        <v>50</v>
      </c>
      <c r="D25" s="59" t="s">
        <v>50</v>
      </c>
      <c r="E25" s="221"/>
      <c r="F25" s="221"/>
      <c r="G25" s="52"/>
    </row>
    <row r="26" spans="1:8" ht="27.6">
      <c r="A26" s="60" t="s">
        <v>146</v>
      </c>
      <c r="B26" s="60"/>
      <c r="C26" s="242">
        <v>33336</v>
      </c>
      <c r="D26" s="191">
        <v>0</v>
      </c>
      <c r="E26" s="222"/>
      <c r="F26" s="222"/>
      <c r="G26" s="52"/>
    </row>
    <row r="27" spans="1:8">
      <c r="A27" s="60" t="s">
        <v>147</v>
      </c>
      <c r="B27" s="60"/>
      <c r="C27" s="190">
        <v>227843</v>
      </c>
      <c r="D27" s="190">
        <v>0</v>
      </c>
      <c r="E27" s="211"/>
      <c r="F27" s="211"/>
      <c r="G27" s="52"/>
    </row>
    <row r="28" spans="1:8" ht="27.6">
      <c r="A28" s="60" t="s">
        <v>148</v>
      </c>
      <c r="B28" s="60"/>
      <c r="C28" s="190">
        <v>0</v>
      </c>
      <c r="D28" s="243">
        <v>43517</v>
      </c>
      <c r="E28" s="211"/>
      <c r="F28" s="211"/>
      <c r="G28" s="51">
        <f>D28-'From PERS'!A178</f>
        <v>0</v>
      </c>
    </row>
    <row r="29" spans="1:8">
      <c r="A29" s="61" t="s">
        <v>189</v>
      </c>
      <c r="B29" s="60"/>
      <c r="C29" s="190">
        <v>11221</v>
      </c>
      <c r="D29" s="190">
        <v>202860</v>
      </c>
      <c r="E29" s="211"/>
      <c r="F29" s="211"/>
      <c r="G29" s="51">
        <f>C29-'From PERS'!A174</f>
        <v>0</v>
      </c>
    </row>
    <row r="30" spans="1:8" ht="27.6">
      <c r="A30" s="61" t="s">
        <v>190</v>
      </c>
      <c r="B30" s="60"/>
      <c r="C30" s="190">
        <v>101475</v>
      </c>
      <c r="D30" s="190">
        <v>0</v>
      </c>
      <c r="E30" s="211"/>
      <c r="F30" s="211"/>
      <c r="G30" s="124"/>
    </row>
    <row r="31" spans="1:8">
      <c r="A31" s="61" t="s">
        <v>51</v>
      </c>
      <c r="B31" s="61"/>
      <c r="C31" s="279">
        <f>SUM(C26:C30)</f>
        <v>373875</v>
      </c>
      <c r="D31" s="279">
        <f>SUM(D26:D30)</f>
        <v>246377</v>
      </c>
      <c r="E31" s="211"/>
      <c r="F31" s="211"/>
      <c r="G31" s="52"/>
    </row>
    <row r="32" spans="1:8" ht="14.4">
      <c r="A32" s="60" t="s">
        <v>52</v>
      </c>
      <c r="B32" s="61"/>
      <c r="C32" s="245">
        <v>178898</v>
      </c>
      <c r="D32" s="161">
        <v>0</v>
      </c>
      <c r="E32" s="219"/>
      <c r="F32" s="219"/>
      <c r="G32" s="52"/>
      <c r="H32" s="284" t="s">
        <v>408</v>
      </c>
    </row>
    <row r="33" spans="1:11" ht="14.4">
      <c r="A33" s="60" t="s">
        <v>258</v>
      </c>
      <c r="B33" s="212"/>
      <c r="C33" s="280">
        <f>C31+C32</f>
        <v>552773</v>
      </c>
      <c r="D33" s="281">
        <f>SUM(D31:D32)</f>
        <v>246377</v>
      </c>
      <c r="E33" s="219"/>
      <c r="F33" s="211"/>
      <c r="H33" s="205"/>
    </row>
    <row r="34" spans="1:11">
      <c r="A34" s="61" t="s">
        <v>266</v>
      </c>
      <c r="B34" s="60"/>
      <c r="C34" s="62"/>
      <c r="D34" s="241">
        <f>-D33+C33</f>
        <v>306396</v>
      </c>
      <c r="E34" s="223"/>
      <c r="F34" s="223"/>
      <c r="G34" s="52"/>
    </row>
    <row r="35" spans="1:11">
      <c r="D35" s="229"/>
      <c r="G35" s="52"/>
    </row>
    <row r="36" spans="1:11">
      <c r="A36" s="47" t="s">
        <v>149</v>
      </c>
      <c r="G36" s="52"/>
    </row>
    <row r="37" spans="1:11">
      <c r="A37" s="47" t="s">
        <v>150</v>
      </c>
      <c r="G37" s="52"/>
    </row>
    <row r="38" spans="1:11" ht="27.6">
      <c r="B38" s="60" t="s">
        <v>53</v>
      </c>
      <c r="C38" s="346" t="s">
        <v>265</v>
      </c>
      <c r="D38" s="346"/>
      <c r="E38" s="225"/>
      <c r="F38" s="225"/>
      <c r="G38" s="52"/>
      <c r="I38" s="60"/>
      <c r="J38" s="346"/>
      <c r="K38" s="346"/>
    </row>
    <row r="39" spans="1:11">
      <c r="B39" s="63" t="s">
        <v>151</v>
      </c>
      <c r="C39" s="344">
        <v>106801</v>
      </c>
      <c r="D39" s="344"/>
      <c r="E39" s="226"/>
      <c r="F39" s="226"/>
      <c r="G39" s="52"/>
      <c r="I39" s="60"/>
      <c r="J39" s="348"/>
      <c r="K39" s="348"/>
    </row>
    <row r="40" spans="1:11">
      <c r="B40" s="63" t="s">
        <v>239</v>
      </c>
      <c r="C40" s="344">
        <v>72313</v>
      </c>
      <c r="D40" s="344"/>
      <c r="E40" s="226"/>
      <c r="F40" s="226"/>
      <c r="G40" s="52"/>
      <c r="I40" s="60"/>
      <c r="J40" s="348"/>
      <c r="K40" s="348"/>
    </row>
    <row r="41" spans="1:11">
      <c r="B41" s="63" t="s">
        <v>240</v>
      </c>
      <c r="C41" s="344">
        <v>-31726</v>
      </c>
      <c r="D41" s="344"/>
      <c r="E41" s="226"/>
      <c r="F41" s="226"/>
      <c r="G41" s="52"/>
      <c r="I41" s="60"/>
      <c r="J41" s="348"/>
      <c r="K41" s="348"/>
    </row>
    <row r="42" spans="1:11">
      <c r="B42" s="63" t="s">
        <v>152</v>
      </c>
      <c r="C42" s="344">
        <v>-19017</v>
      </c>
      <c r="D42" s="344"/>
      <c r="E42" s="226"/>
      <c r="F42" s="226"/>
      <c r="G42" s="52"/>
      <c r="I42" s="60"/>
      <c r="J42" s="348"/>
      <c r="K42" s="348"/>
    </row>
    <row r="43" spans="1:11">
      <c r="B43" s="63" t="s">
        <v>153</v>
      </c>
      <c r="C43" s="344">
        <v>-873</v>
      </c>
      <c r="D43" s="344"/>
      <c r="E43" s="226"/>
      <c r="F43" s="226"/>
      <c r="G43" s="52"/>
      <c r="I43" s="60"/>
      <c r="J43" s="348"/>
      <c r="K43" s="348"/>
    </row>
    <row r="44" spans="1:11">
      <c r="B44" s="63" t="s">
        <v>154</v>
      </c>
      <c r="C44" s="344">
        <v>0</v>
      </c>
      <c r="D44" s="344"/>
      <c r="E44" s="226"/>
      <c r="F44" s="226"/>
      <c r="G44" s="52"/>
      <c r="I44" s="60"/>
      <c r="J44" s="348"/>
      <c r="K44" s="348"/>
    </row>
    <row r="45" spans="1:11">
      <c r="B45" s="63" t="s">
        <v>155</v>
      </c>
      <c r="C45" s="349">
        <f>SUM(C39:D44)</f>
        <v>127498</v>
      </c>
      <c r="D45" s="349"/>
      <c r="E45" s="226"/>
      <c r="F45" s="51">
        <f>C45-D34</f>
        <v>-178898</v>
      </c>
      <c r="G45" s="52"/>
      <c r="I45" s="60"/>
      <c r="J45" s="348"/>
      <c r="K45" s="348"/>
    </row>
    <row r="47" spans="1:11">
      <c r="A47" s="209" t="s">
        <v>156</v>
      </c>
      <c r="B47" s="209"/>
      <c r="C47" s="209"/>
      <c r="D47" s="209"/>
      <c r="E47" s="227"/>
      <c r="F47" s="227"/>
    </row>
    <row r="48" spans="1:11">
      <c r="A48" s="209" t="s">
        <v>369</v>
      </c>
      <c r="B48" s="209"/>
      <c r="C48" s="209"/>
      <c r="D48" s="209"/>
      <c r="E48" s="227"/>
      <c r="F48" s="227"/>
    </row>
    <row r="53" spans="1:1">
      <c r="A53" s="209"/>
    </row>
  </sheetData>
  <mergeCells count="20">
    <mergeCell ref="J43:K43"/>
    <mergeCell ref="J44:K44"/>
    <mergeCell ref="J45:K45"/>
    <mergeCell ref="C41:D41"/>
    <mergeCell ref="C42:D42"/>
    <mergeCell ref="C45:D45"/>
    <mergeCell ref="C43:D43"/>
    <mergeCell ref="C44:D44"/>
    <mergeCell ref="J38:K38"/>
    <mergeCell ref="J39:K39"/>
    <mergeCell ref="J40:K40"/>
    <mergeCell ref="J41:K41"/>
    <mergeCell ref="J42:K42"/>
    <mergeCell ref="C40:D40"/>
    <mergeCell ref="A1:D1"/>
    <mergeCell ref="A2:D2"/>
    <mergeCell ref="A3:D3"/>
    <mergeCell ref="C38:D38"/>
    <mergeCell ref="C39:D39"/>
    <mergeCell ref="A21:B21"/>
  </mergeCells>
  <hyperlinks>
    <hyperlink ref="H2" r:id="rId1" xr:uid="{0FD3800A-906A-4431-90A1-752B71A2375C}"/>
    <hyperlink ref="H32" r:id="rId2" display="https://www.oregon.gov/pers/EMP/Documents/GASB/2019/Cash_Contribution_Subsequent_MD 6-30-updated.pdf" xr:uid="{2429FA62-10F1-4A2F-98C7-AEE689602A82}"/>
  </hyperlinks>
  <pageMargins left="0.7" right="0.7" top="0.75" bottom="0.75" header="0.3" footer="0.3"/>
  <pageSetup scale="88" orientation="portrait" horizontalDpi="300" verticalDpi="300"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391"/>
  <sheetViews>
    <sheetView topLeftCell="A166" workbookViewId="0">
      <selection activeCell="B180" sqref="B180"/>
    </sheetView>
  </sheetViews>
  <sheetFormatPr defaultRowHeight="14.4"/>
  <cols>
    <col min="1" max="1" width="26.5546875" bestFit="1" customWidth="1"/>
    <col min="2" max="2" width="114.109375" bestFit="1" customWidth="1"/>
    <col min="5" max="5" width="20.44140625" bestFit="1" customWidth="1"/>
    <col min="6" max="6" width="10.5546875" bestFit="1" customWidth="1"/>
  </cols>
  <sheetData>
    <row r="1" spans="1:3" s="1" customFormat="1">
      <c r="A1" s="1" t="s">
        <v>0</v>
      </c>
    </row>
    <row r="2" spans="1:3" s="1" customFormat="1" ht="15" thickBot="1">
      <c r="A2" s="18" t="s">
        <v>117</v>
      </c>
      <c r="B2" s="19"/>
    </row>
    <row r="3" spans="1:3" s="1" customFormat="1">
      <c r="A3" s="37" t="s">
        <v>232</v>
      </c>
      <c r="B3" s="20" t="s">
        <v>381</v>
      </c>
    </row>
    <row r="4" spans="1:3" s="1" customFormat="1">
      <c r="A4" s="140" t="s">
        <v>233</v>
      </c>
      <c r="B4" s="141"/>
      <c r="C4"/>
    </row>
    <row r="5" spans="1:3" s="1" customFormat="1">
      <c r="A5" s="300">
        <v>-1390801037</v>
      </c>
      <c r="B5" s="142" t="s">
        <v>234</v>
      </c>
      <c r="C5"/>
    </row>
    <row r="6" spans="1:3" s="1" customFormat="1">
      <c r="A6" s="143" t="s">
        <v>372</v>
      </c>
      <c r="B6" s="142" t="s">
        <v>235</v>
      </c>
      <c r="C6"/>
    </row>
    <row r="7" spans="1:3" s="1" customFormat="1">
      <c r="A7" s="147">
        <v>5</v>
      </c>
      <c r="B7" s="142" t="s">
        <v>236</v>
      </c>
    </row>
    <row r="8" spans="1:3" s="1" customFormat="1">
      <c r="A8" s="143">
        <v>-278160207</v>
      </c>
      <c r="B8" s="142" t="s">
        <v>373</v>
      </c>
    </row>
    <row r="9" spans="1:3" s="1" customFormat="1">
      <c r="A9" s="143">
        <v>-1112640830</v>
      </c>
      <c r="B9" s="142" t="s">
        <v>374</v>
      </c>
    </row>
    <row r="10" spans="1:3" s="1" customFormat="1">
      <c r="A10" s="143">
        <v>0</v>
      </c>
      <c r="B10" s="142" t="s">
        <v>375</v>
      </c>
    </row>
    <row r="11" spans="1:3" s="1" customFormat="1">
      <c r="A11" s="143">
        <v>-278160207</v>
      </c>
      <c r="B11" s="142" t="s">
        <v>376</v>
      </c>
    </row>
    <row r="12" spans="1:3" s="1" customFormat="1">
      <c r="A12" s="143">
        <v>-278160207</v>
      </c>
      <c r="B12" s="142" t="s">
        <v>377</v>
      </c>
    </row>
    <row r="13" spans="1:3" s="1" customFormat="1">
      <c r="A13" s="143">
        <v>-278160207</v>
      </c>
      <c r="B13" s="142" t="s">
        <v>378</v>
      </c>
    </row>
    <row r="14" spans="1:3" s="1" customFormat="1">
      <c r="A14" s="143">
        <v>-278160209</v>
      </c>
      <c r="B14" s="142" t="s">
        <v>379</v>
      </c>
    </row>
    <row r="15" spans="1:3" s="1" customFormat="1">
      <c r="A15" s="144">
        <v>0</v>
      </c>
      <c r="B15" s="142" t="s">
        <v>380</v>
      </c>
    </row>
    <row r="16" spans="1:3" s="1" customFormat="1">
      <c r="A16" s="144">
        <v>0</v>
      </c>
      <c r="B16" s="142" t="s">
        <v>237</v>
      </c>
    </row>
    <row r="17" spans="1:3" s="1" customFormat="1">
      <c r="A17" s="144"/>
      <c r="B17" s="142"/>
    </row>
    <row r="18" spans="1:3" s="1" customFormat="1">
      <c r="A18" s="144"/>
      <c r="B18" s="142"/>
    </row>
    <row r="19" spans="1:3" s="1" customFormat="1">
      <c r="A19" s="143">
        <f>-3128006660</f>
        <v>-3128006660</v>
      </c>
      <c r="B19" s="142" t="s">
        <v>234</v>
      </c>
      <c r="C19"/>
    </row>
    <row r="20" spans="1:3" s="1" customFormat="1">
      <c r="A20" s="143" t="s">
        <v>324</v>
      </c>
      <c r="B20" s="142" t="s">
        <v>235</v>
      </c>
      <c r="C20"/>
    </row>
    <row r="21" spans="1:3" s="1" customFormat="1">
      <c r="A21" s="147">
        <v>5</v>
      </c>
      <c r="B21" s="142" t="s">
        <v>236</v>
      </c>
    </row>
    <row r="22" spans="1:3" s="1" customFormat="1">
      <c r="A22" s="143">
        <v>-625601332</v>
      </c>
      <c r="B22" s="142" t="str">
        <f>B8</f>
        <v>Amount Recognized in 6/30/2018 Expense</v>
      </c>
    </row>
    <row r="23" spans="1:3" s="1" customFormat="1">
      <c r="A23" s="143">
        <v>-2502405328</v>
      </c>
      <c r="B23" s="142" t="str">
        <f t="shared" ref="B23:B30" si="0">B9</f>
        <v>Balance of deferred (inflows) 6/30/2018</v>
      </c>
    </row>
    <row r="24" spans="1:3" s="1" customFormat="1">
      <c r="A24" s="143">
        <v>0</v>
      </c>
      <c r="B24" s="142" t="str">
        <f t="shared" si="0"/>
        <v>Balance of Deferred outflows 6/30/2018</v>
      </c>
    </row>
    <row r="25" spans="1:3" s="1" customFormat="1">
      <c r="A25" s="143">
        <v>-625601332</v>
      </c>
      <c r="B25" s="142" t="str">
        <f t="shared" si="0"/>
        <v>Amount Recognized in 6/30/2019 Expense</v>
      </c>
    </row>
    <row r="26" spans="1:3" s="1" customFormat="1">
      <c r="A26" s="143">
        <v>-625601332</v>
      </c>
      <c r="B26" s="142" t="str">
        <f t="shared" si="0"/>
        <v>Amount Recognized in 6/30/2020 Expense</v>
      </c>
    </row>
    <row r="27" spans="1:3" s="1" customFormat="1">
      <c r="A27" s="143">
        <v>-625601332</v>
      </c>
      <c r="B27" s="142" t="str">
        <f t="shared" si="0"/>
        <v>Amount Recognized in 6/30/2021 Expense</v>
      </c>
    </row>
    <row r="28" spans="1:3" s="1" customFormat="1">
      <c r="A28" s="143">
        <v>0</v>
      </c>
      <c r="B28" s="142" t="str">
        <f t="shared" si="0"/>
        <v>Amount Recognized in 6/30/2022 Expense</v>
      </c>
    </row>
    <row r="29" spans="1:3" s="1" customFormat="1">
      <c r="A29" s="144">
        <v>0</v>
      </c>
      <c r="B29" s="142" t="str">
        <f t="shared" si="0"/>
        <v>Amount Recognized in 6/30/2023 Expense</v>
      </c>
    </row>
    <row r="30" spans="1:3" s="1" customFormat="1">
      <c r="A30" s="144">
        <v>0</v>
      </c>
      <c r="B30" s="142" t="str">
        <f t="shared" si="0"/>
        <v>Amount Recognized thereafter in Expense</v>
      </c>
    </row>
    <row r="31" spans="1:3" s="1" customFormat="1">
      <c r="A31" s="144"/>
      <c r="B31" s="142"/>
    </row>
    <row r="32" spans="1:3" s="1" customFormat="1">
      <c r="A32" s="144"/>
      <c r="B32" s="142"/>
    </row>
    <row r="33" spans="1:3" s="1" customFormat="1">
      <c r="A33" s="143">
        <v>4493869006</v>
      </c>
      <c r="B33" s="142" t="s">
        <v>234</v>
      </c>
      <c r="C33"/>
    </row>
    <row r="34" spans="1:3" s="1" customFormat="1">
      <c r="A34" s="143" t="s">
        <v>297</v>
      </c>
      <c r="B34" s="142" t="s">
        <v>235</v>
      </c>
      <c r="C34"/>
    </row>
    <row r="35" spans="1:3" s="1" customFormat="1">
      <c r="A35" s="147">
        <v>5</v>
      </c>
      <c r="B35" s="142" t="s">
        <v>236</v>
      </c>
    </row>
    <row r="36" spans="1:3" s="1" customFormat="1">
      <c r="A36" s="143">
        <v>898773801</v>
      </c>
      <c r="B36" s="142" t="str">
        <f>B$22</f>
        <v>Amount Recognized in 6/30/2018 Expense</v>
      </c>
    </row>
    <row r="37" spans="1:3" s="1" customFormat="1">
      <c r="A37" s="143">
        <v>0</v>
      </c>
      <c r="B37" s="142" t="str">
        <f>B$23</f>
        <v>Balance of deferred (inflows) 6/30/2018</v>
      </c>
    </row>
    <row r="38" spans="1:3" s="1" customFormat="1">
      <c r="A38" s="143">
        <v>2696321404</v>
      </c>
      <c r="B38" s="142" t="str">
        <f>B$24</f>
        <v>Balance of Deferred outflows 6/30/2018</v>
      </c>
    </row>
    <row r="39" spans="1:3" s="1" customFormat="1">
      <c r="A39" s="143">
        <v>898773801</v>
      </c>
      <c r="B39" s="142" t="str">
        <f>B$25</f>
        <v>Amount Recognized in 6/30/2019 Expense</v>
      </c>
    </row>
    <row r="40" spans="1:3" s="1" customFormat="1">
      <c r="A40" s="143">
        <v>898773802</v>
      </c>
      <c r="B40" s="142" t="str">
        <f>B$26</f>
        <v>Amount Recognized in 6/30/2020 Expense</v>
      </c>
    </row>
    <row r="41" spans="1:3" s="1" customFormat="1">
      <c r="A41" s="143">
        <v>0</v>
      </c>
      <c r="B41" s="142" t="str">
        <f>B$27</f>
        <v>Amount Recognized in 6/30/2021 Expense</v>
      </c>
    </row>
    <row r="42" spans="1:3" s="1" customFormat="1">
      <c r="A42" s="143">
        <v>0</v>
      </c>
      <c r="B42" s="142" t="str">
        <f>B$28</f>
        <v>Amount Recognized in 6/30/2022 Expense</v>
      </c>
    </row>
    <row r="43" spans="1:3" s="1" customFormat="1">
      <c r="A43" s="144">
        <v>0</v>
      </c>
      <c r="B43" s="142" t="str">
        <f>B$29</f>
        <v>Amount Recognized in 6/30/2023 Expense</v>
      </c>
    </row>
    <row r="44" spans="1:3" s="1" customFormat="1">
      <c r="A44" s="144">
        <v>0</v>
      </c>
      <c r="B44" s="142" t="s">
        <v>237</v>
      </c>
    </row>
    <row r="45" spans="1:3" s="1" customFormat="1">
      <c r="A45" s="144"/>
      <c r="B45" s="142"/>
    </row>
    <row r="46" spans="1:3" s="1" customFormat="1">
      <c r="A46" s="144"/>
      <c r="B46" s="142"/>
    </row>
    <row r="47" spans="1:3" s="1" customFormat="1">
      <c r="A47" s="143">
        <v>2596050493</v>
      </c>
      <c r="B47" s="142" t="s">
        <v>234</v>
      </c>
    </row>
    <row r="48" spans="1:3" s="1" customFormat="1">
      <c r="A48" s="143" t="s">
        <v>238</v>
      </c>
      <c r="B48" s="142" t="s">
        <v>235</v>
      </c>
    </row>
    <row r="49" spans="1:2" s="1" customFormat="1">
      <c r="A49" s="147">
        <v>5</v>
      </c>
      <c r="B49" s="142" t="s">
        <v>236</v>
      </c>
    </row>
    <row r="50" spans="1:2" s="1" customFormat="1">
      <c r="A50" s="143">
        <v>519210099</v>
      </c>
      <c r="B50" s="142" t="str">
        <f>B$22</f>
        <v>Amount Recognized in 6/30/2018 Expense</v>
      </c>
    </row>
    <row r="51" spans="1:2" s="1" customFormat="1">
      <c r="A51" s="143">
        <v>0</v>
      </c>
      <c r="B51" s="142" t="str">
        <f>B$23</f>
        <v>Balance of deferred (inflows) 6/30/2018</v>
      </c>
    </row>
    <row r="52" spans="1:2" s="1" customFormat="1">
      <c r="A52" s="143">
        <v>1038420196</v>
      </c>
      <c r="B52" s="142" t="str">
        <f>B$24</f>
        <v>Balance of Deferred outflows 6/30/2018</v>
      </c>
    </row>
    <row r="53" spans="1:2" s="1" customFormat="1">
      <c r="A53" s="143">
        <v>519210099</v>
      </c>
      <c r="B53" s="142" t="str">
        <f>B$25</f>
        <v>Amount Recognized in 6/30/2019 Expense</v>
      </c>
    </row>
    <row r="54" spans="1:2" s="1" customFormat="1">
      <c r="A54" s="143">
        <v>0</v>
      </c>
      <c r="B54" s="142" t="str">
        <f>B$26</f>
        <v>Amount Recognized in 6/30/2020 Expense</v>
      </c>
    </row>
    <row r="55" spans="1:2" s="1" customFormat="1">
      <c r="A55" s="143">
        <v>0</v>
      </c>
      <c r="B55" s="142" t="str">
        <f>B$27</f>
        <v>Amount Recognized in 6/30/2021 Expense</v>
      </c>
    </row>
    <row r="56" spans="1:2" s="1" customFormat="1">
      <c r="A56" s="143">
        <v>0</v>
      </c>
      <c r="B56" s="142" t="str">
        <f>B$28</f>
        <v>Amount Recognized in 6/30/2022 Expense</v>
      </c>
    </row>
    <row r="57" spans="1:2" s="1" customFormat="1">
      <c r="A57" s="144">
        <v>0</v>
      </c>
      <c r="B57" s="142" t="str">
        <f>B$29</f>
        <v>Amount Recognized in 6/30/2023 Expense</v>
      </c>
    </row>
    <row r="58" spans="1:2" s="1" customFormat="1">
      <c r="A58" s="144">
        <v>0</v>
      </c>
      <c r="B58" s="142" t="s">
        <v>237</v>
      </c>
    </row>
    <row r="59" spans="1:2" s="1" customFormat="1">
      <c r="A59" s="144"/>
      <c r="B59" s="142"/>
    </row>
    <row r="60" spans="1:2" s="1" customFormat="1">
      <c r="A60" s="144"/>
      <c r="B60" s="142"/>
    </row>
    <row r="61" spans="1:2" s="1" customFormat="1">
      <c r="A61" s="140" t="s">
        <v>327</v>
      </c>
      <c r="B61" s="142"/>
    </row>
    <row r="62" spans="1:2" s="1" customFormat="1">
      <c r="A62" s="144">
        <v>74324981</v>
      </c>
      <c r="B62" s="142" t="s">
        <v>234</v>
      </c>
    </row>
    <row r="63" spans="1:2" s="1" customFormat="1">
      <c r="A63" s="144" t="s">
        <v>372</v>
      </c>
      <c r="B63" s="142" t="s">
        <v>235</v>
      </c>
    </row>
    <row r="64" spans="1:2" s="1" customFormat="1">
      <c r="A64" s="255">
        <v>5.2</v>
      </c>
      <c r="B64" s="142" t="s">
        <v>236</v>
      </c>
    </row>
    <row r="65" spans="1:2" s="1" customFormat="1">
      <c r="A65" s="144">
        <v>14293266</v>
      </c>
      <c r="B65" s="142" t="str">
        <f>B$22</f>
        <v>Amount Recognized in 6/30/2018 Expense</v>
      </c>
    </row>
    <row r="66" spans="1:2" s="1" customFormat="1">
      <c r="A66" s="144">
        <v>0</v>
      </c>
      <c r="B66" s="142" t="str">
        <f>B$23</f>
        <v>Balance of deferred (inflows) 6/30/2018</v>
      </c>
    </row>
    <row r="67" spans="1:2" s="1" customFormat="1">
      <c r="A67" s="144">
        <v>60031715</v>
      </c>
      <c r="B67" s="142" t="str">
        <f>B$24</f>
        <v>Balance of Deferred outflows 6/30/2018</v>
      </c>
    </row>
    <row r="68" spans="1:2" s="1" customFormat="1">
      <c r="A68" s="144">
        <v>14293266</v>
      </c>
      <c r="B68" s="142" t="str">
        <f>B$25</f>
        <v>Amount Recognized in 6/30/2019 Expense</v>
      </c>
    </row>
    <row r="69" spans="1:2" s="1" customFormat="1">
      <c r="A69" s="144">
        <v>14293266</v>
      </c>
      <c r="B69" s="142" t="str">
        <f>B$26</f>
        <v>Amount Recognized in 6/30/2020 Expense</v>
      </c>
    </row>
    <row r="70" spans="1:2" s="1" customFormat="1">
      <c r="A70" s="144">
        <v>14293266</v>
      </c>
      <c r="B70" s="142" t="str">
        <f>B$27</f>
        <v>Amount Recognized in 6/30/2021 Expense</v>
      </c>
    </row>
    <row r="71" spans="1:2" s="1" customFormat="1">
      <c r="A71" s="144">
        <v>14293266</v>
      </c>
      <c r="B71" s="142" t="str">
        <f>B$28</f>
        <v>Amount Recognized in 6/30/2022 Expense</v>
      </c>
    </row>
    <row r="72" spans="1:2" s="1" customFormat="1">
      <c r="A72" s="144">
        <v>2858651</v>
      </c>
      <c r="B72" s="142" t="str">
        <f>B$29</f>
        <v>Amount Recognized in 6/30/2023 Expense</v>
      </c>
    </row>
    <row r="73" spans="1:2" s="1" customFormat="1">
      <c r="A73" s="144">
        <v>0</v>
      </c>
      <c r="B73" s="142" t="s">
        <v>237</v>
      </c>
    </row>
    <row r="74" spans="1:2" s="1" customFormat="1">
      <c r="A74" s="144"/>
      <c r="B74" s="299"/>
    </row>
    <row r="75" spans="1:2" s="1" customFormat="1">
      <c r="A75" s="165"/>
      <c r="B75" s="142"/>
    </row>
    <row r="76" spans="1:2" s="1" customFormat="1">
      <c r="A76" s="144">
        <v>351846323</v>
      </c>
      <c r="B76" s="142" t="s">
        <v>234</v>
      </c>
    </row>
    <row r="77" spans="1:2" s="1" customFormat="1">
      <c r="A77" s="144" t="s">
        <v>324</v>
      </c>
      <c r="B77" s="142" t="s">
        <v>235</v>
      </c>
    </row>
    <row r="78" spans="1:2" s="1" customFormat="1">
      <c r="A78" s="255">
        <v>5.3</v>
      </c>
      <c r="B78" s="142" t="s">
        <v>236</v>
      </c>
    </row>
    <row r="79" spans="1:2" s="1" customFormat="1">
      <c r="A79" s="144">
        <v>66386099</v>
      </c>
      <c r="B79" s="142" t="str">
        <f>B$22</f>
        <v>Amount Recognized in 6/30/2018 Expense</v>
      </c>
    </row>
    <row r="80" spans="1:2" s="1" customFormat="1">
      <c r="A80" s="144">
        <v>0</v>
      </c>
      <c r="B80" s="142" t="str">
        <f>B$23</f>
        <v>Balance of deferred (inflows) 6/30/2018</v>
      </c>
    </row>
    <row r="81" spans="1:2" s="1" customFormat="1">
      <c r="A81" s="144">
        <v>285460224</v>
      </c>
      <c r="B81" s="142" t="str">
        <f>B$24</f>
        <v>Balance of Deferred outflows 6/30/2018</v>
      </c>
    </row>
    <row r="82" spans="1:2" s="1" customFormat="1">
      <c r="A82" s="144">
        <v>66386099</v>
      </c>
      <c r="B82" s="142" t="str">
        <f>B$25</f>
        <v>Amount Recognized in 6/30/2019 Expense</v>
      </c>
    </row>
    <row r="83" spans="1:2" s="1" customFormat="1">
      <c r="A83" s="144">
        <v>66386099</v>
      </c>
      <c r="B83" s="142" t="str">
        <f>B$26</f>
        <v>Amount Recognized in 6/30/2020 Expense</v>
      </c>
    </row>
    <row r="84" spans="1:2" s="1" customFormat="1">
      <c r="A84" s="144">
        <v>66386099</v>
      </c>
      <c r="B84" s="142" t="str">
        <f>B$27</f>
        <v>Amount Recognized in 6/30/2021 Expense</v>
      </c>
    </row>
    <row r="85" spans="1:2" s="1" customFormat="1">
      <c r="A85" s="144">
        <v>19915828</v>
      </c>
      <c r="B85" s="142" t="str">
        <f>B$28</f>
        <v>Amount Recognized in 6/30/2022 Expense</v>
      </c>
    </row>
    <row r="86" spans="1:2" s="1" customFormat="1">
      <c r="A86" s="144">
        <v>0</v>
      </c>
      <c r="B86" s="142" t="str">
        <f>B$29</f>
        <v>Amount Recognized in 6/30/2023 Expense</v>
      </c>
    </row>
    <row r="87" spans="1:2" s="1" customFormat="1">
      <c r="A87" s="144">
        <v>0</v>
      </c>
      <c r="B87" s="142" t="s">
        <v>237</v>
      </c>
    </row>
    <row r="88" spans="1:2" s="1" customFormat="1">
      <c r="A88" s="144"/>
      <c r="B88" s="299"/>
    </row>
    <row r="89" spans="1:2" s="1" customFormat="1">
      <c r="A89" s="165"/>
      <c r="B89" s="142"/>
    </row>
    <row r="90" spans="1:2" s="1" customFormat="1">
      <c r="A90" s="144">
        <v>317297639</v>
      </c>
      <c r="B90" s="142" t="s">
        <v>234</v>
      </c>
    </row>
    <row r="91" spans="1:2" s="1" customFormat="1">
      <c r="A91" s="144" t="s">
        <v>297</v>
      </c>
      <c r="B91" s="142" t="s">
        <v>235</v>
      </c>
    </row>
    <row r="92" spans="1:2" s="1" customFormat="1">
      <c r="A92" s="255">
        <v>5.3</v>
      </c>
      <c r="B92" s="142" t="s">
        <v>236</v>
      </c>
    </row>
    <row r="93" spans="1:2" s="1" customFormat="1">
      <c r="A93" s="144">
        <v>59867479</v>
      </c>
      <c r="B93" s="142" t="str">
        <f>B$22</f>
        <v>Amount Recognized in 6/30/2018 Expense</v>
      </c>
    </row>
    <row r="94" spans="1:2" s="1" customFormat="1">
      <c r="A94" s="144">
        <v>0</v>
      </c>
      <c r="B94" s="142" t="str">
        <f>B$23</f>
        <v>Balance of deferred (inflows) 6/30/2018</v>
      </c>
    </row>
    <row r="95" spans="1:2" s="1" customFormat="1">
      <c r="A95" s="144">
        <v>197562681</v>
      </c>
      <c r="B95" s="142" t="str">
        <f>B$24</f>
        <v>Balance of Deferred outflows 6/30/2018</v>
      </c>
    </row>
    <row r="96" spans="1:2" s="1" customFormat="1">
      <c r="A96" s="144">
        <v>59867479</v>
      </c>
      <c r="B96" s="142" t="str">
        <f>B$25</f>
        <v>Amount Recognized in 6/30/2019 Expense</v>
      </c>
    </row>
    <row r="97" spans="1:2" s="1" customFormat="1">
      <c r="A97" s="144">
        <v>59867479</v>
      </c>
      <c r="B97" s="142" t="str">
        <f>B$26</f>
        <v>Amount Recognized in 6/30/2020 Expense</v>
      </c>
    </row>
    <row r="98" spans="1:2" s="1" customFormat="1">
      <c r="A98" s="144">
        <v>17960244</v>
      </c>
      <c r="B98" s="142" t="str">
        <f>B$27</f>
        <v>Amount Recognized in 6/30/2021 Expense</v>
      </c>
    </row>
    <row r="99" spans="1:2" s="1" customFormat="1">
      <c r="A99" s="144">
        <v>0</v>
      </c>
      <c r="B99" s="142" t="str">
        <f>B$28</f>
        <v>Amount Recognized in 6/30/2022 Expense</v>
      </c>
    </row>
    <row r="100" spans="1:2" s="1" customFormat="1">
      <c r="A100" s="144">
        <v>0</v>
      </c>
      <c r="B100" s="142" t="str">
        <f>B$29</f>
        <v>Amount Recognized in 6/30/2023 Expense</v>
      </c>
    </row>
    <row r="101" spans="1:2" s="1" customFormat="1">
      <c r="A101" s="144">
        <v>0</v>
      </c>
      <c r="B101" s="142" t="s">
        <v>237</v>
      </c>
    </row>
    <row r="102" spans="1:2" s="1" customFormat="1">
      <c r="A102" s="144"/>
      <c r="B102" s="142"/>
    </row>
    <row r="103" spans="1:2" s="1" customFormat="1">
      <c r="A103" s="165"/>
      <c r="B103" s="142"/>
    </row>
    <row r="104" spans="1:2" s="1" customFormat="1">
      <c r="A104" s="144">
        <v>379974263</v>
      </c>
      <c r="B104" s="142" t="s">
        <v>234</v>
      </c>
    </row>
    <row r="105" spans="1:2" s="1" customFormat="1">
      <c r="A105" s="144" t="s">
        <v>238</v>
      </c>
      <c r="B105" s="142" t="s">
        <v>235</v>
      </c>
    </row>
    <row r="106" spans="1:2" s="1" customFormat="1">
      <c r="A106" s="255">
        <v>5.4</v>
      </c>
      <c r="B106" s="142" t="s">
        <v>236</v>
      </c>
    </row>
    <row r="107" spans="1:2" s="1" customFormat="1">
      <c r="A107" s="144">
        <v>70365604</v>
      </c>
      <c r="B107" s="142" t="str">
        <f>B$22</f>
        <v>Amount Recognized in 6/30/2018 Expense</v>
      </c>
    </row>
    <row r="108" spans="1:2" s="1" customFormat="1">
      <c r="A108" s="144">
        <v>0</v>
      </c>
      <c r="B108" s="142" t="str">
        <f>B$23</f>
        <v>Balance of deferred (inflows) 6/30/2018</v>
      </c>
    </row>
    <row r="109" spans="1:2" s="1" customFormat="1">
      <c r="A109" s="144">
        <v>168877451</v>
      </c>
      <c r="B109" s="142" t="str">
        <f>B$24</f>
        <v>Balance of Deferred outflows 6/30/2018</v>
      </c>
    </row>
    <row r="110" spans="1:2" s="1" customFormat="1">
      <c r="A110" s="144">
        <v>70365604</v>
      </c>
      <c r="B110" s="142" t="str">
        <f>B$25</f>
        <v>Amount Recognized in 6/30/2019 Expense</v>
      </c>
    </row>
    <row r="111" spans="1:2" s="1" customFormat="1">
      <c r="A111" s="144">
        <v>28146243</v>
      </c>
      <c r="B111" s="142" t="str">
        <f>B$26</f>
        <v>Amount Recognized in 6/30/2020 Expense</v>
      </c>
    </row>
    <row r="112" spans="1:2" s="1" customFormat="1">
      <c r="A112" s="144">
        <v>0</v>
      </c>
      <c r="B112" s="142" t="str">
        <f>B$27</f>
        <v>Amount Recognized in 6/30/2021 Expense</v>
      </c>
    </row>
    <row r="113" spans="1:2" s="1" customFormat="1">
      <c r="A113" s="144">
        <v>0</v>
      </c>
      <c r="B113" s="142" t="str">
        <f>B$28</f>
        <v>Amount Recognized in 6/30/2022 Expense</v>
      </c>
    </row>
    <row r="114" spans="1:2" s="1" customFormat="1">
      <c r="A114" s="144">
        <v>0</v>
      </c>
      <c r="B114" s="142" t="str">
        <f>B$29</f>
        <v>Amount Recognized in 6/30/2023 Expense</v>
      </c>
    </row>
    <row r="115" spans="1:2" s="1" customFormat="1">
      <c r="A115" s="144">
        <v>0</v>
      </c>
      <c r="B115" s="142" t="s">
        <v>237</v>
      </c>
    </row>
    <row r="116" spans="1:2" s="1" customFormat="1">
      <c r="A116" s="144"/>
      <c r="B116" s="142"/>
    </row>
    <row r="117" spans="1:2" s="1" customFormat="1">
      <c r="A117" s="324" t="s">
        <v>298</v>
      </c>
      <c r="B117" s="142"/>
    </row>
    <row r="118" spans="1:2" s="1" customFormat="1">
      <c r="A118" s="144">
        <v>2240292080</v>
      </c>
      <c r="B118" s="142" t="s">
        <v>234</v>
      </c>
    </row>
    <row r="119" spans="1:2" s="1" customFormat="1">
      <c r="A119" s="144" t="s">
        <v>372</v>
      </c>
      <c r="B119" s="142" t="s">
        <v>235</v>
      </c>
    </row>
    <row r="120" spans="1:2" s="1" customFormat="1">
      <c r="A120" s="144">
        <v>5.2</v>
      </c>
      <c r="B120" s="142" t="s">
        <v>236</v>
      </c>
    </row>
    <row r="121" spans="1:2" s="1" customFormat="1">
      <c r="A121" s="144">
        <v>430825400</v>
      </c>
      <c r="B121" s="142" t="str">
        <f>B$22</f>
        <v>Amount Recognized in 6/30/2018 Expense</v>
      </c>
    </row>
    <row r="122" spans="1:2" s="1" customFormat="1">
      <c r="A122" s="144">
        <v>0</v>
      </c>
      <c r="B122" s="142" t="str">
        <f>B$23</f>
        <v>Balance of deferred (inflows) 6/30/2018</v>
      </c>
    </row>
    <row r="123" spans="1:2" s="1" customFormat="1">
      <c r="A123" s="144">
        <v>1809466680</v>
      </c>
      <c r="B123" s="142" t="str">
        <f>B$24</f>
        <v>Balance of Deferred outflows 6/30/2018</v>
      </c>
    </row>
    <row r="124" spans="1:2" s="1" customFormat="1">
      <c r="A124" s="144">
        <v>430825400</v>
      </c>
      <c r="B124" s="142" t="str">
        <f>B$25</f>
        <v>Amount Recognized in 6/30/2019 Expense</v>
      </c>
    </row>
    <row r="125" spans="1:2" s="1" customFormat="1">
      <c r="A125" s="144">
        <v>430825400</v>
      </c>
      <c r="B125" s="142" t="str">
        <f>B$26</f>
        <v>Amount Recognized in 6/30/2020 Expense</v>
      </c>
    </row>
    <row r="126" spans="1:2" s="1" customFormat="1">
      <c r="A126" s="144">
        <v>430825400</v>
      </c>
      <c r="B126" s="142" t="str">
        <f>B$27</f>
        <v>Amount Recognized in 6/30/2021 Expense</v>
      </c>
    </row>
    <row r="127" spans="1:2" s="1" customFormat="1">
      <c r="A127" s="144">
        <v>430825400</v>
      </c>
      <c r="B127" s="142" t="str">
        <f>B$28</f>
        <v>Amount Recognized in 6/30/2022 Expense</v>
      </c>
    </row>
    <row r="128" spans="1:2" s="1" customFormat="1">
      <c r="A128" s="144">
        <v>86165080</v>
      </c>
      <c r="B128" s="142" t="str">
        <f>B$29</f>
        <v>Amount Recognized in 6/30/2023 Expense</v>
      </c>
    </row>
    <row r="129" spans="1:5" s="1" customFormat="1">
      <c r="A129" s="144">
        <v>0</v>
      </c>
      <c r="B129" s="142" t="s">
        <v>237</v>
      </c>
    </row>
    <row r="130" spans="1:5" s="1" customFormat="1">
      <c r="A130" s="144"/>
      <c r="B130" s="142"/>
    </row>
    <row r="131" spans="1:5" s="1" customFormat="1">
      <c r="A131" s="254"/>
      <c r="B131" s="142"/>
      <c r="E131" s="312"/>
    </row>
    <row r="132" spans="1:5" s="1" customFormat="1">
      <c r="A132" s="144">
        <v>0</v>
      </c>
      <c r="B132" s="142" t="s">
        <v>234</v>
      </c>
      <c r="E132" s="312"/>
    </row>
    <row r="133" spans="1:5" s="1" customFormat="1">
      <c r="A133" s="144" t="s">
        <v>324</v>
      </c>
      <c r="B133" s="142" t="s">
        <v>235</v>
      </c>
      <c r="E133" s="312"/>
    </row>
    <row r="134" spans="1:5" s="1" customFormat="1">
      <c r="A134" s="144">
        <v>0</v>
      </c>
      <c r="B134" s="142" t="s">
        <v>236</v>
      </c>
      <c r="E134" s="312"/>
    </row>
    <row r="135" spans="1:5" s="1" customFormat="1">
      <c r="A135" s="144">
        <v>0</v>
      </c>
      <c r="B135" s="142" t="str">
        <f>B$22</f>
        <v>Amount Recognized in 6/30/2018 Expense</v>
      </c>
      <c r="E135" s="312"/>
    </row>
    <row r="136" spans="1:5" s="1" customFormat="1">
      <c r="A136" s="144">
        <v>0</v>
      </c>
      <c r="B136" s="142" t="str">
        <f>B$23</f>
        <v>Balance of deferred (inflows) 6/30/2018</v>
      </c>
    </row>
    <row r="137" spans="1:5" s="1" customFormat="1">
      <c r="A137" s="144">
        <v>0</v>
      </c>
      <c r="B137" s="142" t="str">
        <f>B$24</f>
        <v>Balance of Deferred outflows 6/30/2018</v>
      </c>
    </row>
    <row r="138" spans="1:5" s="1" customFormat="1">
      <c r="A138" s="144">
        <v>0</v>
      </c>
      <c r="B138" s="142" t="str">
        <f>B$25</f>
        <v>Amount Recognized in 6/30/2019 Expense</v>
      </c>
    </row>
    <row r="139" spans="1:5" s="1" customFormat="1">
      <c r="A139" s="144">
        <v>0</v>
      </c>
      <c r="B139" s="142" t="str">
        <f>B$26</f>
        <v>Amount Recognized in 6/30/2020 Expense</v>
      </c>
    </row>
    <row r="140" spans="1:5" s="1" customFormat="1">
      <c r="A140" s="144">
        <v>0</v>
      </c>
      <c r="B140" s="142" t="str">
        <f>B$27</f>
        <v>Amount Recognized in 6/30/2021 Expense</v>
      </c>
    </row>
    <row r="141" spans="1:5" s="1" customFormat="1">
      <c r="A141" s="144">
        <v>0</v>
      </c>
      <c r="B141" s="142" t="str">
        <f>B$28</f>
        <v>Amount Recognized in 6/30/2022 Expense</v>
      </c>
    </row>
    <row r="142" spans="1:5" s="1" customFormat="1">
      <c r="A142" s="144">
        <v>0</v>
      </c>
      <c r="B142" s="142" t="str">
        <f>B$29</f>
        <v>Amount Recognized in 6/30/2023 Expense</v>
      </c>
    </row>
    <row r="143" spans="1:5" s="1" customFormat="1">
      <c r="A143" s="144">
        <v>0</v>
      </c>
      <c r="B143" s="142" t="s">
        <v>237</v>
      </c>
    </row>
    <row r="144" spans="1:5" s="1" customFormat="1">
      <c r="A144" s="144"/>
      <c r="B144" s="142"/>
    </row>
    <row r="145" spans="1:6" s="1" customFormat="1">
      <c r="A145" s="254"/>
      <c r="B145" s="142"/>
    </row>
    <row r="146" spans="1:6" s="1" customFormat="1">
      <c r="A146" s="272">
        <v>3946364611</v>
      </c>
      <c r="B146" s="142" t="s">
        <v>234</v>
      </c>
    </row>
    <row r="147" spans="1:6">
      <c r="A147" s="144" t="s">
        <v>297</v>
      </c>
      <c r="B147" s="142" t="s">
        <v>235</v>
      </c>
    </row>
    <row r="148" spans="1:6">
      <c r="A148" s="144">
        <v>5.3</v>
      </c>
      <c r="B148" s="142" t="s">
        <v>236</v>
      </c>
    </row>
    <row r="149" spans="1:6">
      <c r="A149" s="144">
        <v>744597096</v>
      </c>
      <c r="B149" s="142" t="str">
        <f>B$22</f>
        <v>Amount Recognized in 6/30/2018 Expense</v>
      </c>
    </row>
    <row r="150" spans="1:6">
      <c r="A150" s="144">
        <v>0</v>
      </c>
      <c r="B150" s="142" t="str">
        <f>B$23</f>
        <v>Balance of deferred (inflows) 6/30/2018</v>
      </c>
    </row>
    <row r="151" spans="1:6">
      <c r="A151" s="144">
        <v>1712573323</v>
      </c>
      <c r="B151" s="142" t="str">
        <f>B$24</f>
        <v>Balance of Deferred outflows 6/30/2018</v>
      </c>
      <c r="E151" s="313"/>
      <c r="F151" s="313"/>
    </row>
    <row r="152" spans="1:6">
      <c r="A152" s="144">
        <v>744597096</v>
      </c>
      <c r="B152" s="142" t="str">
        <f>B$25</f>
        <v>Amount Recognized in 6/30/2019 Expense</v>
      </c>
      <c r="E152" s="313"/>
      <c r="F152" s="313"/>
    </row>
    <row r="153" spans="1:6">
      <c r="A153" s="144">
        <v>744597096</v>
      </c>
      <c r="B153" s="142" t="str">
        <f>B$26</f>
        <v>Amount Recognized in 6/30/2020 Expense</v>
      </c>
      <c r="E153" s="313"/>
      <c r="F153" s="313"/>
    </row>
    <row r="154" spans="1:6">
      <c r="A154" s="144">
        <v>223379131</v>
      </c>
      <c r="B154" s="142" t="str">
        <f>B$27</f>
        <v>Amount Recognized in 6/30/2021 Expense</v>
      </c>
    </row>
    <row r="155" spans="1:6">
      <c r="A155" s="144">
        <v>0</v>
      </c>
      <c r="B155" s="142" t="str">
        <f>B$28</f>
        <v>Amount Recognized in 6/30/2022 Expense</v>
      </c>
    </row>
    <row r="156" spans="1:6">
      <c r="A156" s="144">
        <v>0</v>
      </c>
      <c r="B156" s="142" t="str">
        <f>B$29</f>
        <v>Amount Recognized in 6/30/2023 Expense</v>
      </c>
    </row>
    <row r="157" spans="1:6">
      <c r="A157" s="144">
        <v>0</v>
      </c>
      <c r="B157" s="142" t="s">
        <v>237</v>
      </c>
    </row>
    <row r="158" spans="1:6">
      <c r="A158" s="144"/>
      <c r="B158" s="299"/>
    </row>
    <row r="159" spans="1:6" ht="15" thickBot="1">
      <c r="A159" s="38"/>
      <c r="B159" s="142"/>
    </row>
    <row r="160" spans="1:6">
      <c r="A160" s="37" t="s">
        <v>1</v>
      </c>
      <c r="B160" s="20"/>
    </row>
    <row r="161" spans="1:2">
      <c r="A161" s="162" t="s">
        <v>269</v>
      </c>
      <c r="B161" s="3" t="s">
        <v>2</v>
      </c>
    </row>
    <row r="162" spans="1:2">
      <c r="A162" s="162" t="s">
        <v>270</v>
      </c>
      <c r="B162" s="3" t="s">
        <v>3</v>
      </c>
    </row>
    <row r="163" spans="1:2">
      <c r="A163" s="171">
        <v>8.8112699999999994E-5</v>
      </c>
      <c r="B163" s="3" t="s">
        <v>4</v>
      </c>
    </row>
    <row r="164" spans="1:2">
      <c r="A164" s="171">
        <v>6.4690599999999994E-5</v>
      </c>
      <c r="B164" s="3" t="s">
        <v>5</v>
      </c>
    </row>
    <row r="165" spans="1:2">
      <c r="A165" s="165">
        <v>1187763</v>
      </c>
      <c r="B165" s="3" t="s">
        <v>6</v>
      </c>
    </row>
    <row r="166" spans="1:2" ht="15" thickBot="1">
      <c r="A166" s="38">
        <v>979977</v>
      </c>
      <c r="B166" s="4" t="s">
        <v>7</v>
      </c>
    </row>
    <row r="167" spans="1:2">
      <c r="A167" s="37" t="s">
        <v>8</v>
      </c>
      <c r="B167" s="2"/>
    </row>
    <row r="168" spans="1:2">
      <c r="A168" s="162" t="s">
        <v>269</v>
      </c>
      <c r="B168" s="3" t="s">
        <v>2</v>
      </c>
    </row>
    <row r="169" spans="1:2">
      <c r="A169" s="162" t="s">
        <v>270</v>
      </c>
      <c r="B169" s="3" t="s">
        <v>3</v>
      </c>
    </row>
    <row r="170" spans="1:2">
      <c r="A170" s="165">
        <v>979977</v>
      </c>
      <c r="B170" s="3" t="s">
        <v>9</v>
      </c>
    </row>
    <row r="171" spans="1:2">
      <c r="A171" s="164">
        <v>33336</v>
      </c>
      <c r="B171" s="3" t="s">
        <v>10</v>
      </c>
    </row>
    <row r="172" spans="1:2">
      <c r="A172" s="164">
        <v>227843</v>
      </c>
      <c r="B172" s="3" t="s">
        <v>11</v>
      </c>
    </row>
    <row r="173" spans="1:2">
      <c r="A173" s="164">
        <v>0</v>
      </c>
      <c r="B173" s="3" t="s">
        <v>12</v>
      </c>
    </row>
    <row r="174" spans="1:2">
      <c r="A174" s="165">
        <v>11221</v>
      </c>
      <c r="B174" s="3" t="s">
        <v>243</v>
      </c>
    </row>
    <row r="175" spans="1:2">
      <c r="A175" s="165">
        <v>101475</v>
      </c>
      <c r="B175" s="3" t="s">
        <v>242</v>
      </c>
    </row>
    <row r="176" spans="1:2">
      <c r="A176" s="164">
        <v>0</v>
      </c>
      <c r="B176" s="3" t="s">
        <v>10</v>
      </c>
    </row>
    <row r="177" spans="1:2">
      <c r="A177" s="164">
        <v>0</v>
      </c>
      <c r="B177" s="3" t="s">
        <v>11</v>
      </c>
    </row>
    <row r="178" spans="1:2">
      <c r="A178" s="165">
        <v>43517</v>
      </c>
      <c r="B178" s="3" t="s">
        <v>12</v>
      </c>
    </row>
    <row r="179" spans="1:2">
      <c r="A179" s="165">
        <v>202860</v>
      </c>
      <c r="B179" s="3" t="s">
        <v>243</v>
      </c>
    </row>
    <row r="180" spans="1:2">
      <c r="A180" s="164">
        <v>0</v>
      </c>
      <c r="B180" s="3" t="s">
        <v>242</v>
      </c>
    </row>
    <row r="181" spans="1:2">
      <c r="A181" s="165">
        <v>190322</v>
      </c>
      <c r="B181" s="3" t="s">
        <v>13</v>
      </c>
    </row>
    <row r="182" spans="1:2">
      <c r="A182" s="165">
        <v>-48264</v>
      </c>
      <c r="B182" s="3" t="s">
        <v>244</v>
      </c>
    </row>
    <row r="183" spans="1:2">
      <c r="A183" s="164">
        <v>33412</v>
      </c>
      <c r="B183" s="3" t="s">
        <v>245</v>
      </c>
    </row>
    <row r="184" spans="1:2" ht="15" thickBot="1">
      <c r="A184" s="38">
        <v>175470</v>
      </c>
      <c r="B184" s="3" t="s">
        <v>14</v>
      </c>
    </row>
    <row r="185" spans="1:2">
      <c r="A185" s="37" t="s">
        <v>15</v>
      </c>
      <c r="B185" s="2"/>
    </row>
    <row r="186" spans="1:2">
      <c r="A186" s="162" t="s">
        <v>269</v>
      </c>
      <c r="B186" s="3" t="s">
        <v>2</v>
      </c>
    </row>
    <row r="187" spans="1:2">
      <c r="A187" s="162" t="s">
        <v>270</v>
      </c>
      <c r="B187" s="3" t="s">
        <v>3</v>
      </c>
    </row>
    <row r="188" spans="1:2">
      <c r="A188" s="162" t="s">
        <v>271</v>
      </c>
      <c r="B188" s="3" t="s">
        <v>16</v>
      </c>
    </row>
    <row r="189" spans="1:2">
      <c r="A189" s="165">
        <v>230623</v>
      </c>
      <c r="B189" s="3" t="s">
        <v>17</v>
      </c>
    </row>
    <row r="190" spans="1:2">
      <c r="A190" s="165">
        <v>283096</v>
      </c>
      <c r="B190" s="3" t="s">
        <v>18</v>
      </c>
    </row>
    <row r="191" spans="1:2">
      <c r="A191" s="165">
        <v>55804</v>
      </c>
      <c r="B191" s="3" t="s">
        <v>19</v>
      </c>
    </row>
    <row r="192" spans="1:2">
      <c r="A192" s="165">
        <v>569523</v>
      </c>
      <c r="B192" s="3" t="s">
        <v>20</v>
      </c>
    </row>
    <row r="193" spans="1:2">
      <c r="A193" s="163">
        <v>0.17480000000000001</v>
      </c>
      <c r="B193" s="3" t="s">
        <v>21</v>
      </c>
    </row>
    <row r="194" spans="1:2">
      <c r="A194" s="163">
        <v>8.4900000000000003E-2</v>
      </c>
      <c r="B194" s="3" t="s">
        <v>22</v>
      </c>
    </row>
    <row r="195" spans="1:2">
      <c r="A195" s="163">
        <v>0.13220000000000001</v>
      </c>
      <c r="B195" s="3" t="s">
        <v>23</v>
      </c>
    </row>
    <row r="196" spans="1:2" ht="15" thickBot="1">
      <c r="A196" s="169">
        <v>569012</v>
      </c>
      <c r="B196" s="4" t="s">
        <v>24</v>
      </c>
    </row>
    <row r="197" spans="1:2">
      <c r="A197" s="37" t="s">
        <v>25</v>
      </c>
      <c r="B197" s="2"/>
    </row>
    <row r="198" spans="1:2">
      <c r="A198" s="162" t="s">
        <v>269</v>
      </c>
      <c r="B198" s="3" t="s">
        <v>2</v>
      </c>
    </row>
    <row r="199" spans="1:2">
      <c r="A199" s="162" t="s">
        <v>270</v>
      </c>
      <c r="B199" s="3" t="s">
        <v>3</v>
      </c>
    </row>
    <row r="200" spans="1:2">
      <c r="A200" s="162" t="s">
        <v>271</v>
      </c>
      <c r="B200" s="3" t="s">
        <v>16</v>
      </c>
    </row>
    <row r="201" spans="1:2">
      <c r="A201" s="164">
        <v>569523</v>
      </c>
      <c r="B201" s="3" t="s">
        <v>20</v>
      </c>
    </row>
    <row r="202" spans="1:2">
      <c r="A202" s="164">
        <v>1695628366</v>
      </c>
      <c r="B202" s="3" t="s">
        <v>26</v>
      </c>
    </row>
    <row r="203" spans="1:2">
      <c r="A203" s="164">
        <v>9849017230</v>
      </c>
      <c r="B203" s="3" t="s">
        <v>27</v>
      </c>
    </row>
    <row r="204" spans="1:2">
      <c r="A204" s="164">
        <v>98050</v>
      </c>
      <c r="B204" s="3" t="s">
        <v>28</v>
      </c>
    </row>
    <row r="205" spans="1:2">
      <c r="A205" s="164">
        <v>12318753537</v>
      </c>
      <c r="B205" s="3" t="s">
        <v>29</v>
      </c>
    </row>
    <row r="206" spans="1:2">
      <c r="A206" s="164">
        <v>5714021704</v>
      </c>
      <c r="B206" s="3" t="s">
        <v>30</v>
      </c>
    </row>
    <row r="207" spans="1:2">
      <c r="A207" s="164">
        <v>1227824</v>
      </c>
      <c r="B207" s="3" t="s">
        <v>31</v>
      </c>
    </row>
    <row r="208" spans="1:2">
      <c r="A208" s="164">
        <v>7369</v>
      </c>
      <c r="B208" s="3" t="s">
        <v>32</v>
      </c>
    </row>
    <row r="209" spans="1:2">
      <c r="A209" s="164">
        <v>0</v>
      </c>
      <c r="B209" s="3" t="s">
        <v>191</v>
      </c>
    </row>
    <row r="210" spans="1:2">
      <c r="A210" s="164">
        <v>0</v>
      </c>
      <c r="B210" s="3" t="s">
        <v>192</v>
      </c>
    </row>
    <row r="211" spans="1:2">
      <c r="A211" s="176">
        <v>-86162</v>
      </c>
      <c r="B211" s="3" t="s">
        <v>33</v>
      </c>
    </row>
    <row r="212" spans="1:2">
      <c r="A212" s="270"/>
      <c r="B212" s="3" t="s">
        <v>34</v>
      </c>
    </row>
    <row r="213" spans="1:2">
      <c r="A213" s="164">
        <v>0</v>
      </c>
      <c r="B213" s="3" t="s">
        <v>35</v>
      </c>
    </row>
    <row r="214" spans="1:2">
      <c r="A214" s="176" t="s">
        <v>299</v>
      </c>
      <c r="B214" s="3" t="s">
        <v>36</v>
      </c>
    </row>
    <row r="215" spans="1:2" ht="15" thickBot="1">
      <c r="A215" s="176">
        <v>1149031</v>
      </c>
      <c r="B215" s="4" t="s">
        <v>37</v>
      </c>
    </row>
    <row r="216" spans="1:2">
      <c r="A216" s="37" t="s">
        <v>38</v>
      </c>
      <c r="B216" s="2"/>
    </row>
    <row r="217" spans="1:2">
      <c r="A217" s="162" t="s">
        <v>269</v>
      </c>
      <c r="B217" s="3" t="s">
        <v>2</v>
      </c>
    </row>
    <row r="218" spans="1:2">
      <c r="A218" s="162" t="s">
        <v>270</v>
      </c>
      <c r="B218" s="3" t="s">
        <v>3</v>
      </c>
    </row>
    <row r="219" spans="1:2">
      <c r="A219" s="162" t="s">
        <v>271</v>
      </c>
      <c r="B219" s="3" t="s">
        <v>16</v>
      </c>
    </row>
    <row r="220" spans="1:2">
      <c r="A220" s="164">
        <v>569012</v>
      </c>
      <c r="B220" s="3" t="s">
        <v>24</v>
      </c>
    </row>
    <row r="221" spans="1:2" s="6" customFormat="1">
      <c r="A221" s="164">
        <v>98050</v>
      </c>
      <c r="B221" s="3" t="s">
        <v>28</v>
      </c>
    </row>
    <row r="222" spans="1:2">
      <c r="A222" s="164">
        <v>1149031</v>
      </c>
      <c r="B222" s="3" t="s">
        <v>37</v>
      </c>
    </row>
    <row r="223" spans="1:2">
      <c r="A223" s="164">
        <v>1816093</v>
      </c>
      <c r="B223" s="3" t="s">
        <v>39</v>
      </c>
    </row>
    <row r="224" spans="1:2" ht="15" thickBot="1">
      <c r="A224" s="166">
        <v>6.4690599999999994E-5</v>
      </c>
      <c r="B224" s="4" t="s">
        <v>40</v>
      </c>
    </row>
    <row r="225" spans="1:5">
      <c r="A225" s="37" t="s">
        <v>41</v>
      </c>
      <c r="B225" s="2"/>
    </row>
    <row r="226" spans="1:5" ht="15" customHeight="1">
      <c r="A226" s="162" t="s">
        <v>269</v>
      </c>
      <c r="B226" s="3" t="s">
        <v>2</v>
      </c>
    </row>
    <row r="227" spans="1:5" ht="15" customHeight="1">
      <c r="A227" s="162" t="s">
        <v>270</v>
      </c>
      <c r="B227" s="3" t="s">
        <v>3</v>
      </c>
    </row>
    <row r="228" spans="1:5" ht="15" customHeight="1">
      <c r="A228" s="167">
        <v>8.8112699999999994E-5</v>
      </c>
      <c r="B228" s="3" t="s">
        <v>4</v>
      </c>
    </row>
    <row r="229" spans="1:5" ht="15" customHeight="1">
      <c r="A229" s="167">
        <v>6.4690599999999994E-5</v>
      </c>
      <c r="B229" s="3" t="s">
        <v>5</v>
      </c>
    </row>
    <row r="230" spans="1:5" ht="15" customHeight="1">
      <c r="A230" s="164">
        <v>13480037806</v>
      </c>
      <c r="B230" s="3" t="s">
        <v>193</v>
      </c>
      <c r="E230" s="266"/>
    </row>
    <row r="231" spans="1:5" ht="15" customHeight="1">
      <c r="A231" s="164">
        <v>3247946765</v>
      </c>
      <c r="B231" s="3" t="s">
        <v>194</v>
      </c>
    </row>
    <row r="232" spans="1:5" ht="15" customHeight="1">
      <c r="A232" s="164">
        <v>-239657</v>
      </c>
      <c r="B232" s="3" t="s">
        <v>42</v>
      </c>
    </row>
    <row r="233" spans="1:5" ht="15" customHeight="1">
      <c r="A233" s="164">
        <v>1390111534</v>
      </c>
      <c r="B233" s="3" t="s">
        <v>43</v>
      </c>
    </row>
    <row r="234" spans="1:5" ht="15" customHeight="1">
      <c r="A234" s="164">
        <v>89927</v>
      </c>
      <c r="B234" s="5" t="s">
        <v>44</v>
      </c>
      <c r="E234" s="267"/>
    </row>
    <row r="235" spans="1:5" ht="15" customHeight="1">
      <c r="A235" s="165">
        <v>157162</v>
      </c>
      <c r="B235" s="5" t="s">
        <v>45</v>
      </c>
      <c r="E235" s="267"/>
    </row>
    <row r="236" spans="1:5" ht="15" customHeight="1">
      <c r="A236" s="164">
        <v>67235</v>
      </c>
      <c r="B236" s="3" t="s">
        <v>46</v>
      </c>
    </row>
    <row r="237" spans="1:5" ht="15" customHeight="1">
      <c r="A237" s="168">
        <v>5.2</v>
      </c>
      <c r="B237" s="3" t="s">
        <v>47</v>
      </c>
    </row>
    <row r="238" spans="1:5" ht="15" customHeight="1">
      <c r="A238" s="172">
        <v>-46088</v>
      </c>
      <c r="B238" s="3" t="s">
        <v>195</v>
      </c>
    </row>
    <row r="239" spans="1:5" ht="15" customHeight="1" thickBot="1">
      <c r="A239" s="38">
        <v>12930</v>
      </c>
      <c r="B239" s="4" t="s">
        <v>196</v>
      </c>
    </row>
    <row r="240" spans="1:5" ht="15" customHeight="1">
      <c r="A240" s="37" t="s">
        <v>197</v>
      </c>
      <c r="B240" s="2"/>
    </row>
    <row r="241" spans="1:5" ht="15" customHeight="1">
      <c r="A241" s="162" t="s">
        <v>269</v>
      </c>
      <c r="B241" s="3" t="s">
        <v>2</v>
      </c>
    </row>
    <row r="242" spans="1:5" ht="15" customHeight="1">
      <c r="A242" s="162" t="s">
        <v>270</v>
      </c>
      <c r="B242" s="3" t="s">
        <v>3</v>
      </c>
    </row>
    <row r="243" spans="1:5" ht="15" customHeight="1">
      <c r="A243" s="268">
        <v>42916</v>
      </c>
      <c r="B243" s="302" t="s">
        <v>198</v>
      </c>
    </row>
    <row r="244" spans="1:5" ht="15" customHeight="1">
      <c r="A244" s="162" t="s">
        <v>272</v>
      </c>
      <c r="B244" s="3" t="s">
        <v>199</v>
      </c>
    </row>
    <row r="245" spans="1:5" ht="15" customHeight="1">
      <c r="A245" s="269">
        <v>5.2</v>
      </c>
      <c r="B245" s="3" t="s">
        <v>200</v>
      </c>
      <c r="E245" s="266"/>
    </row>
    <row r="246" spans="1:5" ht="15" customHeight="1">
      <c r="A246" s="269">
        <v>4.2</v>
      </c>
      <c r="B246" s="3" t="s">
        <v>201</v>
      </c>
    </row>
    <row r="247" spans="1:5" ht="15" customHeight="1">
      <c r="A247" s="164">
        <v>-239657</v>
      </c>
      <c r="B247" s="3" t="s">
        <v>202</v>
      </c>
    </row>
    <row r="248" spans="1:5" ht="15" customHeight="1">
      <c r="A248" s="164">
        <v>-193569</v>
      </c>
      <c r="B248" s="3" t="s">
        <v>203</v>
      </c>
    </row>
    <row r="249" spans="1:5" ht="15" customHeight="1">
      <c r="A249" s="164">
        <v>-46088</v>
      </c>
      <c r="B249" s="3" t="s">
        <v>204</v>
      </c>
      <c r="E249" s="267"/>
    </row>
    <row r="250" spans="1:5" ht="15" customHeight="1">
      <c r="A250" s="164">
        <v>-46088</v>
      </c>
      <c r="B250" s="3" t="s">
        <v>205</v>
      </c>
      <c r="E250" s="267"/>
    </row>
    <row r="251" spans="1:5" ht="15" customHeight="1">
      <c r="A251" s="164">
        <v>-46088</v>
      </c>
      <c r="B251" s="3" t="s">
        <v>206</v>
      </c>
      <c r="E251" s="267"/>
    </row>
    <row r="252" spans="1:5" ht="15" customHeight="1">
      <c r="A252" s="164">
        <v>-46088</v>
      </c>
      <c r="B252" s="3" t="s">
        <v>207</v>
      </c>
      <c r="E252" s="267"/>
    </row>
    <row r="253" spans="1:5" ht="15" customHeight="1">
      <c r="A253" s="164">
        <v>-46088</v>
      </c>
      <c r="B253" s="3" t="s">
        <v>208</v>
      </c>
      <c r="E253" s="267"/>
    </row>
    <row r="254" spans="1:5" ht="15" customHeight="1">
      <c r="A254" s="164">
        <v>-9217</v>
      </c>
      <c r="B254" s="3" t="s">
        <v>209</v>
      </c>
      <c r="E254" s="267"/>
    </row>
    <row r="255" spans="1:5" ht="15" customHeight="1">
      <c r="A255" s="164">
        <v>0</v>
      </c>
      <c r="B255" s="3" t="s">
        <v>210</v>
      </c>
      <c r="E255" s="267"/>
    </row>
    <row r="256" spans="1:5" ht="15" customHeight="1">
      <c r="A256" s="269"/>
      <c r="B256" s="3"/>
      <c r="E256" s="267"/>
    </row>
    <row r="257" spans="1:5" ht="15" customHeight="1">
      <c r="A257" s="269"/>
      <c r="B257" s="3"/>
    </row>
    <row r="258" spans="1:5" ht="15" customHeight="1">
      <c r="A258" s="162" t="s">
        <v>269</v>
      </c>
      <c r="B258" s="3" t="s">
        <v>2</v>
      </c>
    </row>
    <row r="259" spans="1:5" ht="15" customHeight="1">
      <c r="A259" s="162" t="s">
        <v>270</v>
      </c>
      <c r="B259" s="3" t="s">
        <v>3</v>
      </c>
    </row>
    <row r="260" spans="1:5" ht="15" customHeight="1">
      <c r="A260" s="268">
        <v>42916</v>
      </c>
      <c r="B260" s="302" t="s">
        <v>198</v>
      </c>
      <c r="E260" s="266"/>
    </row>
    <row r="261" spans="1:5" ht="15" customHeight="1">
      <c r="A261" s="162" t="s">
        <v>110</v>
      </c>
      <c r="B261" s="3" t="s">
        <v>199</v>
      </c>
    </row>
    <row r="262" spans="1:5" ht="15" customHeight="1">
      <c r="A262" s="269">
        <v>5.2</v>
      </c>
      <c r="B262" s="3" t="s">
        <v>200</v>
      </c>
    </row>
    <row r="263" spans="1:5" ht="15" customHeight="1">
      <c r="A263" s="269">
        <v>4.2</v>
      </c>
      <c r="B263" s="3" t="s">
        <v>201</v>
      </c>
    </row>
    <row r="264" spans="1:5" ht="15" customHeight="1">
      <c r="A264" s="164">
        <v>67235</v>
      </c>
      <c r="B264" s="3" t="s">
        <v>202</v>
      </c>
      <c r="E264" s="267"/>
    </row>
    <row r="265" spans="1:5" ht="15" customHeight="1">
      <c r="A265" s="164">
        <v>54305</v>
      </c>
      <c r="B265" s="3" t="s">
        <v>203</v>
      </c>
      <c r="E265" s="267"/>
    </row>
    <row r="266" spans="1:5" ht="15" customHeight="1">
      <c r="A266" s="164">
        <v>12930</v>
      </c>
      <c r="B266" s="3" t="s">
        <v>204</v>
      </c>
      <c r="E266" s="267"/>
    </row>
    <row r="267" spans="1:5" ht="15" customHeight="1">
      <c r="A267" s="164">
        <v>12930</v>
      </c>
      <c r="B267" s="3" t="s">
        <v>205</v>
      </c>
      <c r="E267" s="267"/>
    </row>
    <row r="268" spans="1:5" ht="15" customHeight="1">
      <c r="A268" s="164">
        <v>12930</v>
      </c>
      <c r="B268" s="3" t="s">
        <v>206</v>
      </c>
      <c r="E268" s="267"/>
    </row>
    <row r="269" spans="1:5" ht="15" customHeight="1">
      <c r="A269" s="164">
        <v>12930</v>
      </c>
      <c r="B269" s="3" t="s">
        <v>207</v>
      </c>
      <c r="E269" s="267"/>
    </row>
    <row r="270" spans="1:5" ht="15" customHeight="1">
      <c r="A270" s="164">
        <v>12930</v>
      </c>
      <c r="B270" s="3" t="s">
        <v>208</v>
      </c>
      <c r="E270" s="267"/>
    </row>
    <row r="271" spans="1:5" ht="15" customHeight="1">
      <c r="A271" s="164">
        <v>2585</v>
      </c>
      <c r="B271" s="3" t="s">
        <v>209</v>
      </c>
    </row>
    <row r="272" spans="1:5" ht="15" customHeight="1">
      <c r="A272" s="164">
        <v>0</v>
      </c>
      <c r="B272" s="3" t="s">
        <v>210</v>
      </c>
    </row>
    <row r="273" spans="1:5" ht="15" customHeight="1">
      <c r="A273" s="269"/>
      <c r="B273" s="3"/>
    </row>
    <row r="274" spans="1:5" ht="15" customHeight="1">
      <c r="A274" s="269"/>
      <c r="B274" s="3"/>
    </row>
    <row r="275" spans="1:5" ht="15" customHeight="1">
      <c r="A275" s="162" t="s">
        <v>269</v>
      </c>
      <c r="B275" s="3" t="s">
        <v>2</v>
      </c>
      <c r="E275" s="266"/>
    </row>
    <row r="276" spans="1:5" ht="15" customHeight="1">
      <c r="A276" s="162" t="s">
        <v>270</v>
      </c>
      <c r="B276" s="3" t="s">
        <v>3</v>
      </c>
    </row>
    <row r="277" spans="1:5" ht="15" customHeight="1">
      <c r="A277" s="268">
        <v>42551</v>
      </c>
      <c r="B277" s="303" t="s">
        <v>198</v>
      </c>
    </row>
    <row r="278" spans="1:5" ht="15" customHeight="1">
      <c r="A278" s="162" t="s">
        <v>272</v>
      </c>
      <c r="B278" s="3" t="s">
        <v>199</v>
      </c>
    </row>
    <row r="279" spans="1:5" ht="15" customHeight="1">
      <c r="A279" s="269">
        <v>5.3</v>
      </c>
      <c r="B279" s="3" t="s">
        <v>200</v>
      </c>
      <c r="E279" s="267"/>
    </row>
    <row r="280" spans="1:5" ht="15" customHeight="1">
      <c r="A280" s="269">
        <v>3.3</v>
      </c>
      <c r="B280" s="3" t="s">
        <v>201</v>
      </c>
      <c r="E280" s="267"/>
    </row>
    <row r="281" spans="1:5" ht="15" customHeight="1">
      <c r="A281" s="164">
        <v>5120</v>
      </c>
      <c r="B281" s="3" t="s">
        <v>202</v>
      </c>
      <c r="E281" s="267"/>
    </row>
    <row r="282" spans="1:5" ht="15" customHeight="1">
      <c r="A282" s="164">
        <v>3188</v>
      </c>
      <c r="B282" s="3" t="s">
        <v>203</v>
      </c>
      <c r="E282" s="267"/>
    </row>
    <row r="283" spans="1:5" ht="15" customHeight="1">
      <c r="A283" s="164">
        <v>966</v>
      </c>
      <c r="B283" s="3" t="s">
        <v>204</v>
      </c>
      <c r="E283" s="267"/>
    </row>
    <row r="284" spans="1:5" ht="15" customHeight="1">
      <c r="A284" s="164">
        <v>966</v>
      </c>
      <c r="B284" s="3" t="s">
        <v>205</v>
      </c>
      <c r="E284" s="267"/>
    </row>
    <row r="285" spans="1:5" ht="15" customHeight="1">
      <c r="A285" s="164">
        <v>966</v>
      </c>
      <c r="B285" s="3" t="s">
        <v>206</v>
      </c>
      <c r="E285" s="267"/>
    </row>
    <row r="286" spans="1:5" ht="15" customHeight="1">
      <c r="A286" s="164">
        <v>966</v>
      </c>
      <c r="B286" s="3" t="s">
        <v>207</v>
      </c>
    </row>
    <row r="287" spans="1:5" ht="15" customHeight="1">
      <c r="A287" s="164">
        <v>290</v>
      </c>
      <c r="B287" s="3" t="s">
        <v>208</v>
      </c>
    </row>
    <row r="288" spans="1:5" ht="15" customHeight="1">
      <c r="A288" s="164">
        <v>0</v>
      </c>
      <c r="B288" s="3" t="s">
        <v>209</v>
      </c>
    </row>
    <row r="289" spans="1:5" ht="15" customHeight="1">
      <c r="A289" s="164">
        <v>0</v>
      </c>
      <c r="B289" s="3" t="s">
        <v>210</v>
      </c>
    </row>
    <row r="290" spans="1:5" ht="15" customHeight="1">
      <c r="A290" s="269"/>
      <c r="B290" s="3"/>
      <c r="E290" s="266"/>
    </row>
    <row r="291" spans="1:5" ht="15" customHeight="1">
      <c r="A291" s="269"/>
      <c r="B291" s="3"/>
    </row>
    <row r="292" spans="1:5" ht="15" customHeight="1">
      <c r="A292" s="162" t="s">
        <v>269</v>
      </c>
      <c r="B292" s="3" t="s">
        <v>2</v>
      </c>
    </row>
    <row r="293" spans="1:5" ht="15" customHeight="1">
      <c r="A293" s="162" t="s">
        <v>270</v>
      </c>
      <c r="B293" s="3" t="s">
        <v>3</v>
      </c>
    </row>
    <row r="294" spans="1:5" ht="15" customHeight="1">
      <c r="A294" s="268">
        <v>42551</v>
      </c>
      <c r="B294" s="303" t="s">
        <v>198</v>
      </c>
      <c r="E294" s="267"/>
    </row>
    <row r="295" spans="1:5" ht="15" customHeight="1">
      <c r="A295" s="162" t="s">
        <v>110</v>
      </c>
      <c r="B295" s="3" t="s">
        <v>199</v>
      </c>
      <c r="E295" s="267"/>
    </row>
    <row r="296" spans="1:5" ht="15" customHeight="1">
      <c r="A296" s="269">
        <v>5.3</v>
      </c>
      <c r="B296" s="3" t="s">
        <v>200</v>
      </c>
      <c r="E296" s="267"/>
    </row>
    <row r="297" spans="1:5" ht="15" customHeight="1">
      <c r="A297" s="269">
        <v>3.3</v>
      </c>
      <c r="B297" s="3" t="s">
        <v>201</v>
      </c>
      <c r="E297" s="267"/>
    </row>
    <row r="298" spans="1:5" ht="15" customHeight="1">
      <c r="A298" s="164">
        <v>31142</v>
      </c>
      <c r="B298" s="3" t="s">
        <v>202</v>
      </c>
      <c r="E298" s="267"/>
    </row>
    <row r="299" spans="1:5" ht="15" customHeight="1">
      <c r="A299" s="164">
        <v>19390</v>
      </c>
      <c r="B299" s="3" t="s">
        <v>203</v>
      </c>
      <c r="E299" s="267"/>
    </row>
    <row r="300" spans="1:5" ht="15" customHeight="1">
      <c r="A300" s="164">
        <v>5876</v>
      </c>
      <c r="B300" s="3" t="s">
        <v>204</v>
      </c>
    </row>
    <row r="301" spans="1:5" ht="15" customHeight="1">
      <c r="A301" s="164">
        <v>5876</v>
      </c>
      <c r="B301" s="3" t="s">
        <v>205</v>
      </c>
    </row>
    <row r="302" spans="1:5" ht="15" customHeight="1">
      <c r="A302" s="164">
        <v>5876</v>
      </c>
      <c r="B302" s="3" t="s">
        <v>206</v>
      </c>
    </row>
    <row r="303" spans="1:5" ht="15" customHeight="1">
      <c r="A303" s="164">
        <v>5876</v>
      </c>
      <c r="B303" s="3" t="s">
        <v>207</v>
      </c>
    </row>
    <row r="304" spans="1:5" ht="15" customHeight="1">
      <c r="A304" s="164">
        <v>1762</v>
      </c>
      <c r="B304" s="3" t="s">
        <v>208</v>
      </c>
    </row>
    <row r="305" spans="1:5" ht="15" customHeight="1">
      <c r="A305" s="164">
        <v>0</v>
      </c>
      <c r="B305" s="3" t="s">
        <v>209</v>
      </c>
      <c r="E305" s="266"/>
    </row>
    <row r="306" spans="1:5" ht="15" customHeight="1">
      <c r="A306" s="164">
        <v>0</v>
      </c>
      <c r="B306" s="3" t="s">
        <v>210</v>
      </c>
    </row>
    <row r="307" spans="1:5" ht="15" customHeight="1">
      <c r="A307" s="269"/>
      <c r="B307" s="3"/>
    </row>
    <row r="308" spans="1:5" ht="15" customHeight="1">
      <c r="A308" s="269"/>
      <c r="B308" s="3"/>
    </row>
    <row r="309" spans="1:5" ht="15" customHeight="1">
      <c r="A309" s="162" t="s">
        <v>269</v>
      </c>
      <c r="B309" s="3" t="s">
        <v>2</v>
      </c>
      <c r="E309" s="267"/>
    </row>
    <row r="310" spans="1:5" ht="15" customHeight="1">
      <c r="A310" s="162" t="s">
        <v>270</v>
      </c>
      <c r="B310" s="3" t="s">
        <v>3</v>
      </c>
    </row>
    <row r="311" spans="1:5">
      <c r="A311" s="268">
        <v>42185</v>
      </c>
      <c r="B311" s="304" t="s">
        <v>198</v>
      </c>
    </row>
    <row r="312" spans="1:5">
      <c r="A312" s="162" t="s">
        <v>272</v>
      </c>
      <c r="B312" s="3" t="s">
        <v>199</v>
      </c>
    </row>
    <row r="313" spans="1:5">
      <c r="A313" s="269">
        <v>5.3</v>
      </c>
      <c r="B313" s="3" t="s">
        <v>200</v>
      </c>
    </row>
    <row r="314" spans="1:5">
      <c r="A314" s="269">
        <v>2.2999999999999998</v>
      </c>
      <c r="B314" s="3" t="s">
        <v>201</v>
      </c>
    </row>
    <row r="315" spans="1:5">
      <c r="A315" s="164">
        <v>18512</v>
      </c>
      <c r="B315" s="3" t="s">
        <v>202</v>
      </c>
    </row>
    <row r="316" spans="1:5">
      <c r="A316" s="164">
        <v>8033</v>
      </c>
      <c r="B316" s="3" t="s">
        <v>203</v>
      </c>
    </row>
    <row r="317" spans="1:5">
      <c r="A317" s="164">
        <v>3493</v>
      </c>
      <c r="B317" s="3" t="s">
        <v>204</v>
      </c>
    </row>
    <row r="318" spans="1:5">
      <c r="A318" s="164">
        <v>3493</v>
      </c>
      <c r="B318" s="3" t="s">
        <v>205</v>
      </c>
    </row>
    <row r="319" spans="1:5">
      <c r="A319" s="164">
        <v>3493</v>
      </c>
      <c r="B319" s="3" t="s">
        <v>206</v>
      </c>
    </row>
    <row r="320" spans="1:5">
      <c r="A320" s="164">
        <v>1047</v>
      </c>
      <c r="B320" s="3" t="s">
        <v>207</v>
      </c>
      <c r="E320" s="266"/>
    </row>
    <row r="321" spans="1:5">
      <c r="A321" s="164">
        <v>0</v>
      </c>
      <c r="B321" s="3" t="s">
        <v>208</v>
      </c>
    </row>
    <row r="322" spans="1:5">
      <c r="A322" s="164">
        <v>0</v>
      </c>
      <c r="B322" s="3" t="s">
        <v>209</v>
      </c>
    </row>
    <row r="323" spans="1:5">
      <c r="A323" s="164">
        <v>0</v>
      </c>
      <c r="B323" s="3" t="s">
        <v>210</v>
      </c>
    </row>
    <row r="324" spans="1:5">
      <c r="A324" s="270"/>
      <c r="B324" s="3"/>
      <c r="E324" s="267"/>
    </row>
    <row r="325" spans="1:5">
      <c r="A325" s="270"/>
      <c r="B325" s="3"/>
      <c r="E325" s="267"/>
    </row>
    <row r="326" spans="1:5">
      <c r="A326" s="162" t="s">
        <v>269</v>
      </c>
      <c r="B326" s="3" t="s">
        <v>2</v>
      </c>
      <c r="E326" s="267"/>
    </row>
    <row r="327" spans="1:5">
      <c r="A327" s="162" t="s">
        <v>270</v>
      </c>
      <c r="B327" s="3" t="s">
        <v>3</v>
      </c>
      <c r="E327" s="267"/>
    </row>
    <row r="328" spans="1:5">
      <c r="A328" s="268">
        <v>42185</v>
      </c>
      <c r="B328" s="304" t="s">
        <v>198</v>
      </c>
      <c r="E328" s="267"/>
    </row>
    <row r="329" spans="1:5">
      <c r="A329" s="162" t="s">
        <v>110</v>
      </c>
      <c r="B329" s="3" t="s">
        <v>199</v>
      </c>
    </row>
    <row r="330" spans="1:5">
      <c r="A330" s="269">
        <v>5.3</v>
      </c>
      <c r="B330" s="3" t="s">
        <v>200</v>
      </c>
    </row>
    <row r="331" spans="1:5">
      <c r="A331" s="269">
        <v>2.2999999999999998</v>
      </c>
      <c r="B331" s="3" t="s">
        <v>201</v>
      </c>
    </row>
    <row r="332" spans="1:5">
      <c r="A332" s="164">
        <v>58441</v>
      </c>
      <c r="B332" s="3" t="s">
        <v>202</v>
      </c>
    </row>
    <row r="333" spans="1:5">
      <c r="A333" s="164">
        <v>25360</v>
      </c>
      <c r="B333" s="3" t="s">
        <v>203</v>
      </c>
    </row>
    <row r="334" spans="1:5">
      <c r="A334" s="164">
        <v>11027</v>
      </c>
      <c r="B334" s="3" t="s">
        <v>204</v>
      </c>
    </row>
    <row r="335" spans="1:5">
      <c r="A335" s="164">
        <v>11027</v>
      </c>
      <c r="B335" s="3" t="s">
        <v>205</v>
      </c>
      <c r="E335" s="266"/>
    </row>
    <row r="336" spans="1:5">
      <c r="A336" s="164">
        <v>11027</v>
      </c>
      <c r="B336" s="3" t="s">
        <v>206</v>
      </c>
    </row>
    <row r="337" spans="1:5">
      <c r="A337" s="164">
        <v>3306</v>
      </c>
      <c r="B337" s="3" t="s">
        <v>207</v>
      </c>
    </row>
    <row r="338" spans="1:5">
      <c r="A338" s="164">
        <v>0</v>
      </c>
      <c r="B338" s="3" t="s">
        <v>208</v>
      </c>
    </row>
    <row r="339" spans="1:5">
      <c r="A339" s="164">
        <v>0</v>
      </c>
      <c r="B339" s="3" t="s">
        <v>209</v>
      </c>
      <c r="E339" s="267"/>
    </row>
    <row r="340" spans="1:5">
      <c r="A340" s="164">
        <v>0</v>
      </c>
      <c r="B340" s="3" t="s">
        <v>210</v>
      </c>
      <c r="E340" s="267"/>
    </row>
    <row r="341" spans="1:5">
      <c r="A341" s="269"/>
      <c r="B341" s="3"/>
      <c r="E341" s="267"/>
    </row>
    <row r="342" spans="1:5">
      <c r="A342" s="269"/>
      <c r="B342" s="3"/>
      <c r="E342" s="267"/>
    </row>
    <row r="343" spans="1:5">
      <c r="A343" s="162" t="s">
        <v>269</v>
      </c>
      <c r="B343" s="3" t="s">
        <v>2</v>
      </c>
      <c r="E343" s="267"/>
    </row>
    <row r="344" spans="1:5">
      <c r="A344" s="162" t="s">
        <v>270</v>
      </c>
      <c r="B344" s="3" t="s">
        <v>3</v>
      </c>
      <c r="E344" s="267"/>
    </row>
    <row r="345" spans="1:5">
      <c r="A345" s="268">
        <v>41820</v>
      </c>
      <c r="B345" s="305" t="s">
        <v>198</v>
      </c>
      <c r="E345" s="267"/>
    </row>
    <row r="346" spans="1:5">
      <c r="A346" s="162" t="s">
        <v>272</v>
      </c>
      <c r="B346" s="3" t="s">
        <v>199</v>
      </c>
      <c r="E346" s="267"/>
    </row>
    <row r="347" spans="1:5">
      <c r="A347" s="269">
        <v>5.4</v>
      </c>
      <c r="B347" s="3" t="s">
        <v>200</v>
      </c>
      <c r="E347" s="86"/>
    </row>
    <row r="348" spans="1:5">
      <c r="A348" s="269">
        <v>1.4</v>
      </c>
      <c r="B348" s="3" t="s">
        <v>201</v>
      </c>
    </row>
    <row r="349" spans="1:5">
      <c r="A349" s="164">
        <v>-35831</v>
      </c>
      <c r="B349" s="3" t="s">
        <v>202</v>
      </c>
    </row>
    <row r="350" spans="1:5">
      <c r="A350" s="164">
        <v>-9291</v>
      </c>
      <c r="B350" s="3" t="s">
        <v>203</v>
      </c>
    </row>
    <row r="351" spans="1:5">
      <c r="A351" s="164">
        <v>-6635</v>
      </c>
      <c r="B351" s="3" t="s">
        <v>204</v>
      </c>
    </row>
    <row r="352" spans="1:5">
      <c r="A352" s="164">
        <v>-6635</v>
      </c>
      <c r="B352" s="3" t="s">
        <v>205</v>
      </c>
    </row>
    <row r="353" spans="1:2">
      <c r="A353" s="164">
        <v>-2656</v>
      </c>
      <c r="B353" s="3" t="s">
        <v>206</v>
      </c>
    </row>
    <row r="354" spans="1:2">
      <c r="A354" s="164">
        <v>0</v>
      </c>
      <c r="B354" s="3" t="s">
        <v>207</v>
      </c>
    </row>
    <row r="355" spans="1:2">
      <c r="A355" s="164">
        <v>0</v>
      </c>
      <c r="B355" s="3" t="s">
        <v>208</v>
      </c>
    </row>
    <row r="356" spans="1:2">
      <c r="A356" s="164">
        <v>0</v>
      </c>
      <c r="B356" s="3" t="s">
        <v>209</v>
      </c>
    </row>
    <row r="357" spans="1:2">
      <c r="A357" s="164">
        <v>0</v>
      </c>
      <c r="B357" s="3" t="s">
        <v>210</v>
      </c>
    </row>
    <row r="358" spans="1:2">
      <c r="A358" s="269"/>
      <c r="B358" s="3"/>
    </row>
    <row r="359" spans="1:2">
      <c r="A359" s="269"/>
      <c r="B359" s="3"/>
    </row>
    <row r="360" spans="1:2">
      <c r="A360" s="162" t="s">
        <v>269</v>
      </c>
      <c r="B360" s="3" t="s">
        <v>2</v>
      </c>
    </row>
    <row r="361" spans="1:2">
      <c r="A361" s="162" t="s">
        <v>270</v>
      </c>
      <c r="B361" s="3" t="s">
        <v>3</v>
      </c>
    </row>
    <row r="362" spans="1:2">
      <c r="A362" s="268">
        <v>41820</v>
      </c>
      <c r="B362" s="305" t="s">
        <v>198</v>
      </c>
    </row>
    <row r="363" spans="1:2">
      <c r="A363" s="162" t="s">
        <v>110</v>
      </c>
      <c r="B363" s="3" t="s">
        <v>199</v>
      </c>
    </row>
    <row r="364" spans="1:2">
      <c r="A364" s="269">
        <v>5.4</v>
      </c>
      <c r="B364" s="3" t="s">
        <v>200</v>
      </c>
    </row>
    <row r="365" spans="1:2">
      <c r="A365" s="269">
        <v>1.4</v>
      </c>
      <c r="B365" s="3" t="s">
        <v>201</v>
      </c>
    </row>
    <row r="366" spans="1:2">
      <c r="A366" s="164">
        <v>1821</v>
      </c>
      <c r="B366" s="3" t="s">
        <v>202</v>
      </c>
    </row>
    <row r="367" spans="1:2">
      <c r="A367" s="164">
        <v>473</v>
      </c>
      <c r="B367" s="3" t="s">
        <v>203</v>
      </c>
    </row>
    <row r="368" spans="1:2">
      <c r="A368" s="164">
        <v>337</v>
      </c>
      <c r="B368" s="3" t="s">
        <v>204</v>
      </c>
    </row>
    <row r="369" spans="1:2">
      <c r="A369" s="164">
        <v>337</v>
      </c>
      <c r="B369" s="3" t="s">
        <v>205</v>
      </c>
    </row>
    <row r="370" spans="1:2">
      <c r="A370" s="164">
        <v>136</v>
      </c>
      <c r="B370" s="3" t="s">
        <v>206</v>
      </c>
    </row>
    <row r="371" spans="1:2">
      <c r="A371" s="164">
        <v>0</v>
      </c>
      <c r="B371" s="3" t="s">
        <v>207</v>
      </c>
    </row>
    <row r="372" spans="1:2">
      <c r="A372" s="164">
        <v>0</v>
      </c>
      <c r="B372" s="3" t="s">
        <v>208</v>
      </c>
    </row>
    <row r="373" spans="1:2">
      <c r="A373" s="164">
        <v>0</v>
      </c>
      <c r="B373" s="3" t="s">
        <v>209</v>
      </c>
    </row>
    <row r="374" spans="1:2">
      <c r="A374" s="164">
        <v>0</v>
      </c>
      <c r="B374" s="3" t="s">
        <v>210</v>
      </c>
    </row>
    <row r="375" spans="1:2">
      <c r="A375" s="269"/>
      <c r="B375" s="3"/>
    </row>
    <row r="376" spans="1:2">
      <c r="A376" s="269"/>
      <c r="B376" s="3"/>
    </row>
    <row r="377" spans="1:2">
      <c r="A377" s="162" t="s">
        <v>269</v>
      </c>
      <c r="B377" s="3" t="s">
        <v>2</v>
      </c>
    </row>
    <row r="378" spans="1:2">
      <c r="A378" s="162" t="s">
        <v>270</v>
      </c>
      <c r="B378" s="3" t="s">
        <v>3</v>
      </c>
    </row>
    <row r="379" spans="1:2">
      <c r="A379" s="268">
        <v>41455</v>
      </c>
      <c r="B379" s="308" t="s">
        <v>198</v>
      </c>
    </row>
    <row r="380" spans="1:2">
      <c r="A380" s="162" t="s">
        <v>110</v>
      </c>
      <c r="B380" s="3" t="s">
        <v>199</v>
      </c>
    </row>
    <row r="381" spans="1:2">
      <c r="A381" s="269">
        <v>5.6</v>
      </c>
      <c r="B381" s="3" t="s">
        <v>200</v>
      </c>
    </row>
    <row r="382" spans="1:2">
      <c r="A382" s="269">
        <v>0.6</v>
      </c>
      <c r="B382" s="3" t="s">
        <v>201</v>
      </c>
    </row>
    <row r="383" spans="1:2">
      <c r="A383" s="164">
        <v>18157</v>
      </c>
      <c r="B383" s="3" t="s">
        <v>202</v>
      </c>
    </row>
    <row r="384" spans="1:2">
      <c r="A384" s="164">
        <v>1947</v>
      </c>
      <c r="B384" s="3" t="s">
        <v>203</v>
      </c>
    </row>
    <row r="385" spans="1:2">
      <c r="A385" s="164">
        <v>3242</v>
      </c>
      <c r="B385" s="3" t="s">
        <v>204</v>
      </c>
    </row>
    <row r="386" spans="1:2">
      <c r="A386" s="164">
        <v>1947</v>
      </c>
      <c r="B386" s="3" t="s">
        <v>205</v>
      </c>
    </row>
    <row r="387" spans="1:2">
      <c r="A387" s="164">
        <v>0</v>
      </c>
      <c r="B387" s="3" t="s">
        <v>206</v>
      </c>
    </row>
    <row r="388" spans="1:2">
      <c r="A388" s="164">
        <v>0</v>
      </c>
      <c r="B388" s="3" t="s">
        <v>207</v>
      </c>
    </row>
    <row r="389" spans="1:2">
      <c r="A389" s="164">
        <v>0</v>
      </c>
      <c r="B389" s="3" t="s">
        <v>208</v>
      </c>
    </row>
    <row r="390" spans="1:2">
      <c r="A390" s="164">
        <v>0</v>
      </c>
      <c r="B390" s="3" t="s">
        <v>209</v>
      </c>
    </row>
    <row r="391" spans="1:2" ht="15" thickBot="1">
      <c r="A391" s="169">
        <v>0</v>
      </c>
      <c r="B391" s="4" t="s">
        <v>210</v>
      </c>
    </row>
  </sheetData>
  <hyperlinks>
    <hyperlink ref="B3" r:id="rId1" xr:uid="{AD592467-146E-485D-8DF5-963ED51C75B5}"/>
  </hyperlinks>
  <printOptions horizontalCentered="1" verticalCentered="1"/>
  <pageMargins left="0.7" right="0.7" top="0.5" bottom="0.5" header="0.3" footer="0.3"/>
  <pageSetup scale="10"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G34"/>
  <sheetViews>
    <sheetView topLeftCell="A4" workbookViewId="0">
      <selection activeCell="B180" sqref="B180"/>
    </sheetView>
  </sheetViews>
  <sheetFormatPr defaultRowHeight="14.4"/>
  <cols>
    <col min="1" max="1" width="41.33203125" customWidth="1"/>
    <col min="2" max="2" width="23.109375" customWidth="1"/>
    <col min="3" max="3" width="14.88671875" bestFit="1" customWidth="1"/>
    <col min="4" max="4" width="21.88671875" customWidth="1"/>
    <col min="5" max="5" width="13.6640625" bestFit="1" customWidth="1"/>
    <col min="6" max="6" width="12.6640625" customWidth="1"/>
    <col min="7" max="7" width="16.6640625" bestFit="1" customWidth="1"/>
  </cols>
  <sheetData>
    <row r="1" spans="1:6">
      <c r="A1" t="str">
        <f>'Lead Sheet'!A1</f>
        <v>City of***</v>
      </c>
    </row>
    <row r="2" spans="1:6">
      <c r="A2" t="s">
        <v>253</v>
      </c>
    </row>
    <row r="3" spans="1:6">
      <c r="A3" s="244">
        <f>'Lead Sheet'!A3</f>
        <v>43646</v>
      </c>
    </row>
    <row r="8" spans="1:6">
      <c r="A8" s="126" t="s">
        <v>328</v>
      </c>
      <c r="B8" s="188">
        <f>'State Schedule'!D9</f>
        <v>8.8112699999999994E-5</v>
      </c>
      <c r="C8" s="132"/>
      <c r="D8" s="126"/>
      <c r="E8" s="126"/>
      <c r="F8" s="126"/>
    </row>
    <row r="9" spans="1:6">
      <c r="A9" s="126" t="s">
        <v>384</v>
      </c>
      <c r="B9" s="188">
        <f>'State Schedule'!D10</f>
        <v>6.4690599999999994E-5</v>
      </c>
      <c r="C9" s="133"/>
      <c r="D9" s="126"/>
      <c r="E9" s="126"/>
      <c r="F9" s="126"/>
    </row>
    <row r="10" spans="1:6" ht="15" thickBot="1">
      <c r="A10" s="126"/>
      <c r="B10" s="126"/>
      <c r="C10" s="126"/>
      <c r="D10" s="126"/>
      <c r="E10" s="126"/>
      <c r="F10" s="126"/>
    </row>
    <row r="11" spans="1:6" ht="15" thickBot="1">
      <c r="A11" s="126"/>
      <c r="B11" s="126"/>
      <c r="C11" s="350"/>
      <c r="D11" s="351"/>
      <c r="E11" s="352"/>
      <c r="F11" s="126"/>
    </row>
    <row r="12" spans="1:6">
      <c r="A12" s="126"/>
      <c r="B12" s="314" t="s">
        <v>54</v>
      </c>
      <c r="C12" s="282" t="s">
        <v>383</v>
      </c>
      <c r="D12" s="283">
        <v>43281</v>
      </c>
      <c r="E12" s="130" t="s">
        <v>218</v>
      </c>
      <c r="F12" s="126"/>
    </row>
    <row r="13" spans="1:6">
      <c r="A13" s="127" t="s">
        <v>219</v>
      </c>
      <c r="B13" s="129" t="s">
        <v>220</v>
      </c>
      <c r="C13" s="134" t="s">
        <v>221</v>
      </c>
      <c r="D13" s="129" t="s">
        <v>222</v>
      </c>
      <c r="E13" s="129" t="s">
        <v>223</v>
      </c>
      <c r="F13" s="126"/>
    </row>
    <row r="14" spans="1:6">
      <c r="A14" s="126" t="s">
        <v>302</v>
      </c>
      <c r="F14" s="131"/>
    </row>
    <row r="15" spans="1:6">
      <c r="A15" s="126"/>
      <c r="B15" s="128"/>
      <c r="C15" s="230"/>
      <c r="D15" s="128"/>
      <c r="E15" s="128"/>
      <c r="F15" s="131"/>
    </row>
    <row r="16" spans="1:6">
      <c r="A16" s="126" t="s">
        <v>224</v>
      </c>
      <c r="B16" s="128"/>
      <c r="D16" s="128"/>
      <c r="E16" s="128"/>
      <c r="F16" s="131"/>
    </row>
    <row r="17" spans="1:7">
      <c r="A17" s="83" t="s">
        <v>358</v>
      </c>
      <c r="B17" s="271">
        <v>2696321404</v>
      </c>
      <c r="C17" s="128">
        <f t="shared" ref="C17:C22" si="0">ROUND((B17*$B$8),0)</f>
        <v>237580</v>
      </c>
      <c r="D17" s="128">
        <f t="shared" ref="D17:D22" si="1">ROUND(B17*$B$9,)</f>
        <v>174427</v>
      </c>
      <c r="E17" s="128">
        <f t="shared" ref="E17:E22" si="2">D17-C17</f>
        <v>-63153</v>
      </c>
      <c r="F17" s="131"/>
    </row>
    <row r="18" spans="1:7">
      <c r="A18" s="83" t="s">
        <v>359</v>
      </c>
      <c r="B18" s="271">
        <v>1038420196</v>
      </c>
      <c r="C18" s="128">
        <f t="shared" si="0"/>
        <v>91498</v>
      </c>
      <c r="D18" s="128">
        <f t="shared" si="1"/>
        <v>67176</v>
      </c>
      <c r="E18" s="128">
        <f t="shared" si="2"/>
        <v>-24322</v>
      </c>
      <c r="F18" s="131"/>
    </row>
    <row r="19" spans="1:7">
      <c r="A19" s="83" t="s">
        <v>386</v>
      </c>
      <c r="B19" s="271">
        <v>285460224</v>
      </c>
      <c r="C19" s="128">
        <f t="shared" si="0"/>
        <v>25153</v>
      </c>
      <c r="D19" s="128">
        <f t="shared" si="1"/>
        <v>18467</v>
      </c>
      <c r="E19" s="128">
        <f t="shared" si="2"/>
        <v>-6686</v>
      </c>
      <c r="F19" s="131"/>
    </row>
    <row r="20" spans="1:7">
      <c r="A20" s="83" t="s">
        <v>360</v>
      </c>
      <c r="B20" s="271">
        <v>197562681</v>
      </c>
      <c r="C20" s="128">
        <f t="shared" si="0"/>
        <v>17408</v>
      </c>
      <c r="D20" s="128">
        <f t="shared" si="1"/>
        <v>12780</v>
      </c>
      <c r="E20" s="128">
        <f t="shared" si="2"/>
        <v>-4628</v>
      </c>
      <c r="F20" s="131"/>
    </row>
    <row r="21" spans="1:7">
      <c r="A21" s="83" t="s">
        <v>361</v>
      </c>
      <c r="B21" s="271">
        <v>168877451</v>
      </c>
      <c r="C21" s="128">
        <f>ROUND((B21*$B$8),0)</f>
        <v>14880</v>
      </c>
      <c r="D21" s="128">
        <f>ROUND(B21*$B$9,)</f>
        <v>10925</v>
      </c>
      <c r="E21" s="128">
        <f t="shared" si="2"/>
        <v>-3955</v>
      </c>
      <c r="F21" s="131"/>
    </row>
    <row r="22" spans="1:7">
      <c r="A22" s="83" t="s">
        <v>363</v>
      </c>
      <c r="B22" s="271">
        <v>2457170419</v>
      </c>
      <c r="C22" s="128">
        <f t="shared" si="0"/>
        <v>216508</v>
      </c>
      <c r="D22" s="128">
        <f t="shared" si="1"/>
        <v>158956</v>
      </c>
      <c r="E22" s="128">
        <f t="shared" si="2"/>
        <v>-57552</v>
      </c>
      <c r="F22" s="131"/>
    </row>
    <row r="23" spans="1:7">
      <c r="A23" s="83" t="s">
        <v>303</v>
      </c>
      <c r="B23" s="271"/>
      <c r="C23" s="148">
        <f>'FY19 Entries'!M52</f>
        <v>157872</v>
      </c>
      <c r="D23" s="128"/>
      <c r="E23" s="128"/>
      <c r="F23" s="131"/>
    </row>
    <row r="24" spans="1:7">
      <c r="A24" s="126"/>
      <c r="B24" s="128"/>
      <c r="C24" s="230" t="s">
        <v>259</v>
      </c>
      <c r="D24" s="128"/>
      <c r="E24" s="128"/>
      <c r="F24" s="131"/>
    </row>
    <row r="25" spans="1:7">
      <c r="A25" s="126" t="s">
        <v>225</v>
      </c>
      <c r="B25" s="128">
        <v>-13480037809</v>
      </c>
      <c r="C25" s="128">
        <f>ROUND((B25*$B$8),0)</f>
        <v>-1187763</v>
      </c>
      <c r="D25" s="128">
        <f>ROUND(B25*$B$9,)</f>
        <v>-872032</v>
      </c>
      <c r="E25" s="128">
        <f>D25-C25</f>
        <v>315731</v>
      </c>
      <c r="F25" s="131"/>
    </row>
    <row r="26" spans="1:7">
      <c r="A26" s="126"/>
      <c r="B26" s="128"/>
      <c r="C26" s="128"/>
      <c r="D26" s="128"/>
      <c r="E26" s="128"/>
      <c r="F26" s="131"/>
    </row>
    <row r="27" spans="1:7">
      <c r="A27" s="126" t="s">
        <v>226</v>
      </c>
      <c r="B27" s="128"/>
      <c r="C27" s="128"/>
      <c r="D27" s="128"/>
      <c r="E27" s="128"/>
      <c r="F27" s="131"/>
    </row>
    <row r="28" spans="1:7">
      <c r="A28" s="83" t="s">
        <v>385</v>
      </c>
      <c r="B28" s="298">
        <v>-2502405328</v>
      </c>
      <c r="C28" s="128">
        <f>ROUND((B28*$B$8),0)</f>
        <v>-220494</v>
      </c>
      <c r="D28" s="128">
        <f>ROUND(B28*$B$9,)</f>
        <v>-161882</v>
      </c>
      <c r="E28" s="128">
        <f>D28-C28</f>
        <v>58612</v>
      </c>
      <c r="F28" s="131"/>
    </row>
    <row r="29" spans="1:7">
      <c r="A29" s="83" t="s">
        <v>362</v>
      </c>
      <c r="B29" s="298">
        <v>-1093460282</v>
      </c>
      <c r="C29" s="128">
        <f>ROUND((B29*$B$8),0)</f>
        <v>-96348</v>
      </c>
      <c r="D29" s="128">
        <f>ROUND(B29*$B$9,)</f>
        <v>-70737</v>
      </c>
      <c r="E29" s="128">
        <f>D29-C29</f>
        <v>25611</v>
      </c>
      <c r="F29" s="131"/>
    </row>
    <row r="30" spans="1:7">
      <c r="A30" s="126"/>
      <c r="B30" s="128"/>
      <c r="C30" s="128"/>
      <c r="D30" s="128"/>
      <c r="E30" s="128"/>
      <c r="F30" s="131"/>
    </row>
    <row r="31" spans="1:7">
      <c r="A31" s="126"/>
      <c r="B31" s="128"/>
      <c r="D31" s="136" t="s">
        <v>42</v>
      </c>
      <c r="E31" s="128">
        <f>SUM(E15:E29)-1</f>
        <v>239657</v>
      </c>
      <c r="F31" s="135" t="s">
        <v>364</v>
      </c>
      <c r="G31" s="154">
        <f>E31+'From PERS'!A232</f>
        <v>0</v>
      </c>
    </row>
    <row r="32" spans="1:7">
      <c r="A32" s="126"/>
      <c r="B32" s="128"/>
      <c r="C32" s="128"/>
      <c r="D32" s="128"/>
      <c r="F32" s="135"/>
      <c r="G32" s="131"/>
    </row>
    <row r="33" spans="1:7">
      <c r="A33" s="127"/>
      <c r="B33" s="128"/>
      <c r="C33" s="128"/>
      <c r="D33" s="136" t="s">
        <v>227</v>
      </c>
      <c r="E33" s="128">
        <f>ROUND(E31/'From PERS'!A64,0)</f>
        <v>46088</v>
      </c>
      <c r="F33" s="135" t="s">
        <v>365</v>
      </c>
      <c r="G33" s="154">
        <f>E33+'From PERS'!A249</f>
        <v>0</v>
      </c>
    </row>
    <row r="34" spans="1:7">
      <c r="A34" s="126"/>
      <c r="B34" s="128"/>
      <c r="C34" s="128"/>
      <c r="D34" s="136" t="s">
        <v>229</v>
      </c>
      <c r="E34" s="128">
        <f>E31-E33</f>
        <v>193569</v>
      </c>
      <c r="F34" s="135" t="s">
        <v>365</v>
      </c>
      <c r="G34" s="154">
        <f>E34+'From PERS'!A248</f>
        <v>0</v>
      </c>
    </row>
  </sheetData>
  <mergeCells count="1">
    <mergeCell ref="C11:E11"/>
  </mergeCells>
  <pageMargins left="0.7" right="0.7" top="0.75" bottom="0.75" header="0.3" footer="0.3"/>
  <pageSetup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1"/>
  <sheetViews>
    <sheetView showGridLines="0" workbookViewId="0">
      <selection activeCell="E11" sqref="A1:E11"/>
    </sheetView>
  </sheetViews>
  <sheetFormatPr defaultColWidth="9.109375" defaultRowHeight="13.8"/>
  <cols>
    <col min="1" max="1" width="42.33203125" style="103" customWidth="1"/>
    <col min="2" max="2" width="4.6640625" style="103" customWidth="1"/>
    <col min="3" max="3" width="18.6640625" style="103" customWidth="1"/>
    <col min="4" max="4" width="3.6640625" style="103" customWidth="1"/>
    <col min="5" max="5" width="17.6640625" style="103" customWidth="1"/>
    <col min="6" max="6" width="9.109375" style="103"/>
    <col min="7" max="7" width="19.44140625" style="103" customWidth="1"/>
    <col min="8" max="8" width="10.5546875" style="103" customWidth="1"/>
    <col min="9" max="9" width="9.109375" style="103"/>
    <col min="10" max="10" width="19" style="103" bestFit="1" customWidth="1"/>
    <col min="11" max="11" width="3.6640625" style="103" customWidth="1"/>
    <col min="12" max="12" width="18.88671875" style="103" customWidth="1"/>
    <col min="13" max="13" width="3.6640625" style="103" customWidth="1"/>
    <col min="14" max="14" width="19" style="103" customWidth="1"/>
    <col min="15" max="16384" width="9.109375" style="103"/>
  </cols>
  <sheetData>
    <row r="1" spans="1:7" ht="27.6">
      <c r="A1" s="100"/>
      <c r="B1" s="100"/>
      <c r="C1" s="317" t="s">
        <v>60</v>
      </c>
      <c r="D1" s="318"/>
      <c r="E1" s="317" t="s">
        <v>61</v>
      </c>
    </row>
    <row r="2" spans="1:7" ht="27.6">
      <c r="A2" s="60" t="s">
        <v>146</v>
      </c>
      <c r="B2" s="104"/>
      <c r="C2" s="105">
        <f>'State Schedule'!C26</f>
        <v>33336</v>
      </c>
      <c r="D2" s="100"/>
      <c r="E2" s="105">
        <f>'State Schedule'!D26</f>
        <v>0</v>
      </c>
    </row>
    <row r="3" spans="1:7">
      <c r="A3" s="60" t="s">
        <v>147</v>
      </c>
      <c r="B3" s="104"/>
      <c r="C3" s="106">
        <f>'State Schedule'!C27</f>
        <v>227843</v>
      </c>
      <c r="D3" s="106"/>
      <c r="E3" s="106">
        <f>'State Schedule'!D27</f>
        <v>0</v>
      </c>
    </row>
    <row r="4" spans="1:7" ht="27.6">
      <c r="A4" s="60" t="s">
        <v>148</v>
      </c>
      <c r="B4" s="104"/>
      <c r="C4" s="106">
        <f>'State Schedule'!C28</f>
        <v>0</v>
      </c>
      <c r="D4" s="106"/>
      <c r="E4" s="106">
        <f>'State Schedule'!D28</f>
        <v>43517</v>
      </c>
    </row>
    <row r="5" spans="1:7">
      <c r="A5" s="61" t="s">
        <v>189</v>
      </c>
      <c r="B5" s="104"/>
      <c r="C5" s="106">
        <f>'State Schedule'!C29</f>
        <v>11221</v>
      </c>
      <c r="D5" s="106"/>
      <c r="E5" s="106">
        <f>'State Schedule'!D29</f>
        <v>202860</v>
      </c>
    </row>
    <row r="6" spans="1:7" ht="27.6">
      <c r="A6" s="61" t="s">
        <v>190</v>
      </c>
      <c r="B6" s="104"/>
      <c r="C6" s="196">
        <f>'State Schedule'!C30</f>
        <v>101475</v>
      </c>
      <c r="D6" s="106"/>
      <c r="E6" s="196">
        <f>'State Schedule'!D30</f>
        <v>0</v>
      </c>
    </row>
    <row r="7" spans="1:7">
      <c r="A7" s="61" t="s">
        <v>51</v>
      </c>
      <c r="C7" s="106">
        <f>'State Schedule'!C31</f>
        <v>373875</v>
      </c>
      <c r="E7" s="106">
        <f>'State Schedule'!D31</f>
        <v>246377</v>
      </c>
      <c r="G7" s="145"/>
    </row>
    <row r="8" spans="1:7">
      <c r="A8" s="60" t="s">
        <v>52</v>
      </c>
      <c r="C8" s="106">
        <f>'State Schedule'!C32</f>
        <v>178898</v>
      </c>
      <c r="E8" s="106">
        <f>'State Schedule'!D32</f>
        <v>0</v>
      </c>
    </row>
    <row r="9" spans="1:7">
      <c r="A9" s="60"/>
      <c r="B9" s="104"/>
      <c r="C9" s="107"/>
      <c r="D9" s="106"/>
      <c r="E9" s="107"/>
    </row>
    <row r="10" spans="1:7" ht="14.4" thickBot="1">
      <c r="A10" s="108" t="s">
        <v>62</v>
      </c>
      <c r="B10" s="108"/>
      <c r="C10" s="109">
        <f>SUM(C7:C8)</f>
        <v>552773</v>
      </c>
      <c r="D10" s="100"/>
      <c r="E10" s="109">
        <f>SUM(E7:E8)</f>
        <v>246377</v>
      </c>
    </row>
    <row r="11" spans="1:7" ht="10.5" customHeight="1" thickTop="1"/>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AB52"/>
  <sheetViews>
    <sheetView workbookViewId="0">
      <selection activeCell="B180" sqref="B180"/>
    </sheetView>
  </sheetViews>
  <sheetFormatPr defaultColWidth="9.109375" defaultRowHeight="14.4"/>
  <cols>
    <col min="1" max="1" width="10.88671875" style="103" customWidth="1"/>
    <col min="2" max="2" width="16" style="103" customWidth="1"/>
    <col min="3" max="4" width="12.44140625" style="103" customWidth="1"/>
    <col min="5" max="6" width="11.88671875" style="103" customWidth="1"/>
    <col min="7" max="7" width="12.5546875" style="103" customWidth="1"/>
    <col min="8" max="8" width="12" style="103" customWidth="1"/>
    <col min="9" max="9" width="12.88671875" style="103" customWidth="1"/>
    <col min="10" max="10" width="12.6640625" style="103" customWidth="1"/>
    <col min="11" max="11" width="12" style="103" customWidth="1"/>
    <col min="12" max="12" width="12.109375" style="103" customWidth="1"/>
    <col min="13" max="13" width="18.109375" style="103" customWidth="1"/>
    <col min="14" max="14" width="14.5546875" style="103" customWidth="1"/>
    <col min="15" max="15" width="6.88671875" style="103" customWidth="1"/>
    <col min="16" max="16" width="11.88671875" customWidth="1"/>
    <col min="17" max="18" width="12.6640625" style="103" customWidth="1"/>
    <col min="19" max="20" width="12.44140625" style="103" customWidth="1"/>
    <col min="21" max="21" width="12.33203125" style="103" customWidth="1"/>
    <col min="22" max="22" width="12.109375" style="103" customWidth="1"/>
    <col min="23" max="23" width="12.33203125" style="103" bestFit="1" customWidth="1"/>
    <col min="24" max="24" width="14" style="103" customWidth="1"/>
    <col min="25" max="25" width="11.88671875" style="103" customWidth="1"/>
    <col min="26" max="26" width="18.109375" style="103" customWidth="1"/>
    <col min="27" max="27" width="19" style="103" customWidth="1"/>
    <col min="28" max="28" width="12.6640625" style="103" customWidth="1"/>
    <col min="29" max="30" width="12" style="103" customWidth="1"/>
    <col min="31" max="31" width="12.33203125" style="103" customWidth="1"/>
    <col min="32" max="32" width="10.33203125" style="103" bestFit="1" customWidth="1"/>
    <col min="33" max="16384" width="9.109375" style="103"/>
  </cols>
  <sheetData>
    <row r="1" spans="1:28">
      <c r="A1" s="103" t="s">
        <v>214</v>
      </c>
      <c r="H1"/>
      <c r="P1" s="103" t="s">
        <v>230</v>
      </c>
    </row>
    <row r="2" spans="1:28" ht="13.8">
      <c r="B2" s="307">
        <f>'From PERS'!A379</f>
        <v>41455</v>
      </c>
      <c r="C2" s="357">
        <f>'From PERS'!A345</f>
        <v>41820</v>
      </c>
      <c r="D2" s="357"/>
      <c r="G2" s="356">
        <f>'From PERS'!A311</f>
        <v>42185</v>
      </c>
      <c r="H2" s="356"/>
      <c r="I2" s="353">
        <f>'From PERS'!A277</f>
        <v>42551</v>
      </c>
      <c r="J2" s="353"/>
      <c r="K2" s="354">
        <f>'From PERS'!A243</f>
        <v>42916</v>
      </c>
      <c r="L2" s="354"/>
      <c r="P2" s="103"/>
      <c r="Q2" s="307">
        <f>'From PERS'!A379</f>
        <v>41455</v>
      </c>
      <c r="R2" s="357">
        <f>'From PERS'!A345</f>
        <v>41820</v>
      </c>
      <c r="S2" s="357"/>
      <c r="T2" s="356">
        <f>'From PERS'!A311</f>
        <v>42185</v>
      </c>
      <c r="U2" s="356"/>
      <c r="V2" s="353">
        <f>'From PERS'!A277</f>
        <v>42551</v>
      </c>
      <c r="W2" s="353"/>
      <c r="X2" s="354">
        <f>'From PERS'!A243</f>
        <v>42916</v>
      </c>
      <c r="Y2" s="354"/>
    </row>
    <row r="3" spans="1:28" ht="55.2">
      <c r="A3" s="355" t="s">
        <v>47</v>
      </c>
      <c r="B3" s="125" t="s">
        <v>255</v>
      </c>
      <c r="C3" s="125" t="s">
        <v>255</v>
      </c>
      <c r="D3" s="125" t="s">
        <v>256</v>
      </c>
      <c r="E3" s="125" t="s">
        <v>252</v>
      </c>
      <c r="F3" s="125" t="s">
        <v>301</v>
      </c>
      <c r="G3" s="125" t="s">
        <v>255</v>
      </c>
      <c r="H3" s="125" t="s">
        <v>256</v>
      </c>
      <c r="I3" s="125" t="s">
        <v>255</v>
      </c>
      <c r="J3" s="125" t="s">
        <v>256</v>
      </c>
      <c r="K3" s="125" t="s">
        <v>255</v>
      </c>
      <c r="L3" s="125" t="s">
        <v>256</v>
      </c>
      <c r="M3" s="306" t="s">
        <v>148</v>
      </c>
      <c r="N3" s="103" t="s">
        <v>62</v>
      </c>
      <c r="P3" s="355" t="s">
        <v>47</v>
      </c>
      <c r="Q3" s="125" t="s">
        <v>255</v>
      </c>
      <c r="R3" s="125" t="s">
        <v>255</v>
      </c>
      <c r="S3" s="125" t="s">
        <v>256</v>
      </c>
      <c r="T3" s="125" t="s">
        <v>255</v>
      </c>
      <c r="U3" s="125" t="s">
        <v>256</v>
      </c>
      <c r="V3" s="125" t="s">
        <v>255</v>
      </c>
      <c r="W3" s="125" t="s">
        <v>256</v>
      </c>
      <c r="X3" s="125" t="s">
        <v>255</v>
      </c>
      <c r="Y3" s="125" t="s">
        <v>256</v>
      </c>
      <c r="Z3" s="306" t="s">
        <v>148</v>
      </c>
      <c r="AA3" s="103" t="s">
        <v>62</v>
      </c>
    </row>
    <row r="4" spans="1:28" ht="13.8">
      <c r="A4" s="355"/>
      <c r="B4" s="273">
        <f>'From PERS'!A381</f>
        <v>5.6</v>
      </c>
      <c r="C4" s="153">
        <v>5.4</v>
      </c>
      <c r="D4" s="273">
        <f>'From PERS'!A347</f>
        <v>5.4</v>
      </c>
      <c r="E4" s="152">
        <v>5.4</v>
      </c>
      <c r="F4" s="273">
        <v>5</v>
      </c>
      <c r="G4" s="152">
        <f>'From PERS'!A330</f>
        <v>5.3</v>
      </c>
      <c r="H4" s="152">
        <f>'From PERS'!A313</f>
        <v>5.3</v>
      </c>
      <c r="I4" s="152">
        <f>'From PERS'!A296</f>
        <v>5.3</v>
      </c>
      <c r="J4" s="152">
        <f>'From PERS'!A279</f>
        <v>5.3</v>
      </c>
      <c r="K4" s="152">
        <f>'From PERS'!A262</f>
        <v>5.2</v>
      </c>
      <c r="L4" s="152">
        <f>'From PERS'!A262</f>
        <v>5.2</v>
      </c>
      <c r="M4" s="152"/>
      <c r="P4" s="355"/>
      <c r="Q4" s="153">
        <f>B4</f>
        <v>5.6</v>
      </c>
      <c r="R4" s="153">
        <f>D4</f>
        <v>5.4</v>
      </c>
      <c r="S4" s="153">
        <f t="shared" ref="S4:Y4" si="0">E4</f>
        <v>5.4</v>
      </c>
      <c r="T4" s="153">
        <f t="shared" si="0"/>
        <v>5</v>
      </c>
      <c r="U4" s="153">
        <f t="shared" si="0"/>
        <v>5.3</v>
      </c>
      <c r="V4" s="153">
        <f t="shared" si="0"/>
        <v>5.3</v>
      </c>
      <c r="W4" s="153">
        <f t="shared" si="0"/>
        <v>5.3</v>
      </c>
      <c r="X4" s="153">
        <f t="shared" si="0"/>
        <v>5.3</v>
      </c>
      <c r="Y4" s="153">
        <f t="shared" si="0"/>
        <v>5.2</v>
      </c>
      <c r="Z4" s="153"/>
    </row>
    <row r="5" spans="1:28">
      <c r="A5" s="236"/>
      <c r="B5" s="274"/>
      <c r="C5" s="125"/>
      <c r="D5" s="274"/>
      <c r="E5" s="125"/>
      <c r="F5"/>
      <c r="G5" s="125"/>
      <c r="H5" s="125"/>
      <c r="I5" s="125"/>
      <c r="J5" s="125"/>
      <c r="K5" s="125"/>
      <c r="L5" s="125"/>
      <c r="M5" s="125"/>
      <c r="P5" s="236"/>
      <c r="Q5" s="125"/>
      <c r="S5" s="125"/>
      <c r="T5" s="125"/>
      <c r="U5" s="125"/>
      <c r="V5" s="125"/>
      <c r="W5" s="125"/>
      <c r="X5" s="125"/>
      <c r="Y5" s="125"/>
      <c r="Z5" s="125"/>
    </row>
    <row r="6" spans="1:28" ht="13.8">
      <c r="A6" s="236" t="s">
        <v>215</v>
      </c>
      <c r="B6" s="145">
        <f>IF('From PERS'!A385&gt;0,'From PERS'!A385,0)</f>
        <v>3242</v>
      </c>
      <c r="C6" s="145">
        <f>IF('From PERS'!A368&gt;0,'From PERS'!A368,0)</f>
        <v>337</v>
      </c>
      <c r="D6" s="145">
        <f>IF('From PERS'!A351&gt;0,'From PERS'!A351,0)</f>
        <v>0</v>
      </c>
      <c r="E6" s="145">
        <f>ROUND('From PERS'!A171/4.4,)</f>
        <v>7576</v>
      </c>
      <c r="F6" s="145">
        <f>ROUND(('From PERS'!A152+'From PERS'!A124)*'From PERS'!$A$164,0)</f>
        <v>76039</v>
      </c>
      <c r="G6" s="145">
        <f>ROUND(IF('From PERS'!A334&gt;0,'From PERS'!A334,0),0)</f>
        <v>11027</v>
      </c>
      <c r="H6" s="145">
        <f>ROUND(IF('From PERS'!A317&gt;0,'From PERS'!A317,0),0)</f>
        <v>3493</v>
      </c>
      <c r="I6" s="145">
        <f>ROUND(IF('From PERS'!A300&gt;0,'From PERS'!A300,0),0)</f>
        <v>5876</v>
      </c>
      <c r="J6" s="145">
        <f>ROUND(IF('From PERS'!A283&gt;0,'From PERS'!A283,0),0)</f>
        <v>966</v>
      </c>
      <c r="K6" s="145">
        <f>IF('From PERS'!A266&gt;0,'From PERS'!A266,0)</f>
        <v>12930</v>
      </c>
      <c r="L6" s="145">
        <f>IF('From PERS'!A249&gt;0,'From PERS'!A249,0)</f>
        <v>0</v>
      </c>
      <c r="M6" s="145">
        <f>IF($F$35&gt;0,F28,0)</f>
        <v>0</v>
      </c>
      <c r="N6" s="138">
        <f>SUM(B6:M6)</f>
        <v>121486</v>
      </c>
      <c r="P6" s="236" t="str">
        <f>A6</f>
        <v>FY2019</v>
      </c>
      <c r="Q6" s="145">
        <f>IF('From PERS'!A385&lt;0,-'From PERS'!A385,0)</f>
        <v>0</v>
      </c>
      <c r="R6" s="145">
        <f>IF('From PERS'!A368&lt;0,-'From PERS'!A368,0)</f>
        <v>0</v>
      </c>
      <c r="S6" s="145">
        <f>IF('From PERS'!A351&lt;0,-'From PERS'!A351,0)</f>
        <v>6635</v>
      </c>
      <c r="T6" s="263">
        <f>ROUND(IF('From PERS'!A334&lt;0,-'From PERS'!A334,0),0)</f>
        <v>0</v>
      </c>
      <c r="U6" s="263">
        <f>ROUND(IF('From PERS'!A317&lt;0,-'From PERS'!A317,0),0)</f>
        <v>0</v>
      </c>
      <c r="V6" s="263">
        <f>ROUND(IF('From PERS'!A300&lt;0,-'From PERS'!A300,0),0)</f>
        <v>0</v>
      </c>
      <c r="W6" s="263">
        <f>ROUND(IF('From PERS'!A283&lt;0,-'From PERS'!A283,0),0)</f>
        <v>0</v>
      </c>
      <c r="X6" s="263">
        <f>IF('From PERS'!A266&lt;0,-'From PERS'!A266,0)</f>
        <v>0</v>
      </c>
      <c r="Y6" s="263">
        <f>IF('From PERS'!A249&lt;0,-'From PERS'!A249,0)</f>
        <v>46088</v>
      </c>
      <c r="Z6" s="145">
        <f>IF($F$35&lt;0,-F28,0)</f>
        <v>-33265</v>
      </c>
      <c r="AA6" s="138">
        <f>SUM(Q6:Z6)</f>
        <v>19458</v>
      </c>
    </row>
    <row r="7" spans="1:28" ht="13.8">
      <c r="A7" s="236"/>
      <c r="B7" s="145"/>
      <c r="D7" s="145"/>
      <c r="E7" s="145"/>
      <c r="I7" s="145"/>
      <c r="J7" s="145"/>
      <c r="K7" s="145"/>
      <c r="L7" s="145"/>
      <c r="M7" s="145"/>
      <c r="N7" s="138"/>
      <c r="P7" s="236"/>
      <c r="S7" s="145"/>
      <c r="Z7" s="145"/>
      <c r="AA7" s="138"/>
    </row>
    <row r="8" spans="1:28" ht="13.8">
      <c r="A8" s="236" t="s">
        <v>216</v>
      </c>
      <c r="B8" s="145">
        <f>IF('From PERS'!A386&gt;0,'From PERS'!A386,0)</f>
        <v>1947</v>
      </c>
      <c r="C8" s="145">
        <f>IF('From PERS'!A369&gt;0,'From PERS'!A369,0)</f>
        <v>337</v>
      </c>
      <c r="D8" s="145">
        <f>IF('From PERS'!A352&gt;0,'From PERS'!A352,0)</f>
        <v>0</v>
      </c>
      <c r="E8" s="145">
        <f>ROUND('From PERS'!A171/4.4,)</f>
        <v>7576</v>
      </c>
      <c r="F8" s="145">
        <f>ROUND(('From PERS'!A152+'From PERS'!A124)*'From PERS'!$A$164,0)</f>
        <v>76039</v>
      </c>
      <c r="G8" s="145">
        <f>ROUND(IF('From PERS'!A335&gt;0,'From PERS'!A335,0),0)</f>
        <v>11027</v>
      </c>
      <c r="H8" s="145">
        <f>ROUND(IF('From PERS'!A318&gt;0,'From PERS'!A318,0),0)</f>
        <v>3493</v>
      </c>
      <c r="I8" s="145">
        <f>ROUND(IF('From PERS'!A301&gt;0,'From PERS'!A301,0),0)</f>
        <v>5876</v>
      </c>
      <c r="J8" s="145">
        <f>ROUND(IF('From PERS'!A284&gt;0,'From PERS'!A284,0),0)</f>
        <v>966</v>
      </c>
      <c r="K8" s="145">
        <f>IF('From PERS'!A267&gt;0,'From PERS'!A267,0)</f>
        <v>12930</v>
      </c>
      <c r="L8" s="145">
        <f>IF('From PERS'!A250&gt;0,'From PERS'!A250,0)</f>
        <v>0</v>
      </c>
      <c r="M8" s="145">
        <f>IF($F$35&gt;0,F30,0)</f>
        <v>0</v>
      </c>
      <c r="N8" s="138">
        <f>SUM(B8:M8)</f>
        <v>120191</v>
      </c>
      <c r="P8" s="236" t="str">
        <f>A8</f>
        <v>FY2020</v>
      </c>
      <c r="Q8" s="145">
        <f>IF('From PERS'!A386&lt;0,-'From PERS'!A386,0)</f>
        <v>0</v>
      </c>
      <c r="R8" s="145">
        <f>IF('From PERS'!A369&lt;0,-'From PERS'!A369,0)</f>
        <v>0</v>
      </c>
      <c r="S8" s="145">
        <f>IF('From PERS'!A352&lt;0,-'From PERS'!A352,0)</f>
        <v>6635</v>
      </c>
      <c r="T8" s="263">
        <f>ROUND(IF('From PERS'!A335&lt;0,-'From PERS'!A335,0),0)</f>
        <v>0</v>
      </c>
      <c r="U8" s="263">
        <f>ROUND(IF('From PERS'!A318&lt;0,-'From PERS'!A318,0),0)</f>
        <v>0</v>
      </c>
      <c r="V8" s="263">
        <f>ROUND(IF('From PERS'!A301&lt;0,-'From PERS'!A301,0),0)</f>
        <v>0</v>
      </c>
      <c r="W8" s="263">
        <f>ROUND(IF('From PERS'!A2831,-'From PERS'!A284,0),0)</f>
        <v>0</v>
      </c>
      <c r="X8" s="263">
        <f>IF('From PERS'!A267&lt;0,-'From PERS'!A267,0)</f>
        <v>0</v>
      </c>
      <c r="Y8" s="263">
        <f>IF('From PERS'!A250&lt;0,-'From PERS'!A250,0)</f>
        <v>46088</v>
      </c>
      <c r="Z8" s="145">
        <f>IF($F$35&lt;0,-F30,0)</f>
        <v>-33265</v>
      </c>
      <c r="AA8" s="138">
        <f>SUM(Q8:Z8)</f>
        <v>19458</v>
      </c>
    </row>
    <row r="9" spans="1:28" ht="13.8">
      <c r="A9" s="236" t="s">
        <v>217</v>
      </c>
      <c r="B9" s="145">
        <f>IF('From PERS'!A387&gt;0,'From PERS'!A387,0)</f>
        <v>0</v>
      </c>
      <c r="C9" s="145">
        <f>IF('From PERS'!A370&gt;0,'From PERS'!A370,0)</f>
        <v>136</v>
      </c>
      <c r="D9" s="145">
        <f>IF('From PERS'!A353&gt;0,'From PERS'!A353,0)</f>
        <v>0</v>
      </c>
      <c r="E9" s="145">
        <f>ROUND('From PERS'!A171/4.4,)</f>
        <v>7576</v>
      </c>
      <c r="F9" s="145">
        <f>ROUND(('From PERS'!A153+'From PERS'!A125)*'From PERS'!$A$164,0)</f>
        <v>76039</v>
      </c>
      <c r="G9" s="145">
        <f>ROUND(IF('From PERS'!A336&gt;0,'From PERS'!A336,0),0)</f>
        <v>11027</v>
      </c>
      <c r="H9" s="145">
        <f>ROUND(IF('From PERS'!A319&gt;0,'From PERS'!A319,0),0)</f>
        <v>3493</v>
      </c>
      <c r="I9" s="145">
        <f>ROUND(IF('From PERS'!A302&gt;0,'From PERS'!A302,0),0)</f>
        <v>5876</v>
      </c>
      <c r="J9" s="145">
        <f>ROUND(IF('From PERS'!A285&gt;0,'From PERS'!A285,0),0)</f>
        <v>966</v>
      </c>
      <c r="K9" s="145">
        <f>IF('From PERS'!A268&gt;0,'From PERS'!A268,0)</f>
        <v>12930</v>
      </c>
      <c r="L9" s="145">
        <f>IF('From PERS'!A251&gt;0,'From PERS'!A251,0)</f>
        <v>0</v>
      </c>
      <c r="M9" s="145">
        <f>IF($F$35&gt;0,F31,0)</f>
        <v>0</v>
      </c>
      <c r="N9" s="138">
        <f>SUM(B9:M9)</f>
        <v>118043</v>
      </c>
      <c r="P9" s="236" t="str">
        <f t="shared" ref="P9:P12" si="1">A9</f>
        <v>FY2021</v>
      </c>
      <c r="Q9" s="145">
        <f>IF('From PERS'!A387&lt;0,-'From PERS'!A387,0)</f>
        <v>0</v>
      </c>
      <c r="R9" s="145">
        <f>IF('From PERS'!A370&lt;0,-'From PERS'!A370,0)</f>
        <v>0</v>
      </c>
      <c r="S9" s="145">
        <f>IF('From PERS'!A353&lt;0,-'From PERS'!A353,0)</f>
        <v>2656</v>
      </c>
      <c r="T9" s="263">
        <f>ROUND(IF('From PERS'!A336&lt;0,-'From PERS'!A336,0),0)</f>
        <v>0</v>
      </c>
      <c r="U9" s="263">
        <f>ROUND(IF('From PERS'!A319&lt;0,-'From PERS'!A319,0),0)</f>
        <v>0</v>
      </c>
      <c r="V9" s="263">
        <f>ROUND(IF('From PERS'!A302&lt;0,-'From PERS'!A302,0),0)</f>
        <v>0</v>
      </c>
      <c r="W9" s="263">
        <f>ROUND(IF('From PERS'!A2832,-'From PERS'!A285,0),0)</f>
        <v>0</v>
      </c>
      <c r="X9" s="263">
        <f>IF('From PERS'!A268&lt;0,-'From PERS'!A268,0)</f>
        <v>0</v>
      </c>
      <c r="Y9" s="263">
        <f>IF('From PERS'!A251&lt;0,-'From PERS'!A251,0)</f>
        <v>46088</v>
      </c>
      <c r="Z9" s="145">
        <f t="shared" ref="Z9:Z12" si="2">IF($F$35&lt;0,-F31,0)</f>
        <v>323</v>
      </c>
      <c r="AA9" s="138">
        <f t="shared" ref="AA9:AA12" si="3">SUM(Q9:Z9)</f>
        <v>49067</v>
      </c>
    </row>
    <row r="10" spans="1:28" ht="13.8">
      <c r="A10" s="236" t="s">
        <v>300</v>
      </c>
      <c r="B10" s="145">
        <f>IF('From PERS'!A388&gt;0,'From PERS'!A388,0)</f>
        <v>0</v>
      </c>
      <c r="C10" s="145">
        <f>IF('From PERS'!A371&gt;0,'From PERS'!A371,0)</f>
        <v>0</v>
      </c>
      <c r="D10" s="145">
        <f>IF('From PERS'!A354&gt;0,'From PERS'!A354,0)</f>
        <v>0</v>
      </c>
      <c r="E10" s="145">
        <f>ROUND('From PERS'!A171/4.4,)</f>
        <v>7576</v>
      </c>
      <c r="F10" s="145">
        <f>ROUND(('From PERS'!A154+'From PERS'!A126)*'From PERS'!$A$164,0)</f>
        <v>42321</v>
      </c>
      <c r="G10" s="145">
        <f>ROUND(IF('From PERS'!A337&gt;0,'From PERS'!A337,0),0)</f>
        <v>3306</v>
      </c>
      <c r="H10" s="145">
        <f>ROUND(IF('From PERS'!A320&gt;0,'From PERS'!A320,0),0)</f>
        <v>1047</v>
      </c>
      <c r="I10" s="145">
        <f>ROUND(IF('From PERS'!A303&gt;0,'From PERS'!A303,0),0)</f>
        <v>5876</v>
      </c>
      <c r="J10" s="145">
        <f>ROUND(IF('From PERS'!A286&gt;0,'From PERS'!A286,0),0)</f>
        <v>966</v>
      </c>
      <c r="K10" s="145">
        <f>IF('From PERS'!A269&gt;0,'From PERS'!A269,0)</f>
        <v>12930</v>
      </c>
      <c r="L10" s="145">
        <f>IF('From PERS'!A252&gt;0,'From PERS'!A252,0)</f>
        <v>0</v>
      </c>
      <c r="M10" s="145">
        <f>IF($F$35&gt;0,F32,0)</f>
        <v>0</v>
      </c>
      <c r="N10" s="138">
        <f>SUM(B10:M10)</f>
        <v>74022</v>
      </c>
      <c r="P10" s="236" t="str">
        <f t="shared" si="1"/>
        <v>FY2022</v>
      </c>
      <c r="Q10" s="145">
        <f>IF('From PERS'!A388&lt;0,-'From PERS'!A388,0)</f>
        <v>0</v>
      </c>
      <c r="R10" s="145">
        <f>IF('From PERS'!A371&lt;0,-'From PERS'!A371,0)</f>
        <v>0</v>
      </c>
      <c r="S10" s="145">
        <f>IF('From PERS'!A354&lt;0,-'From PERS'!A354,0)</f>
        <v>0</v>
      </c>
      <c r="T10" s="263">
        <f>ROUND(IF('From PERS'!A337&lt;0,-'From PERS'!A337,0),0)</f>
        <v>0</v>
      </c>
      <c r="U10" s="263">
        <f>ROUND(IF('From PERS'!A320&lt;0,-'From PERS'!A320,0),0)</f>
        <v>0</v>
      </c>
      <c r="V10" s="263">
        <f>ROUND(IF('From PERS'!A303&lt;0,-'From PERS'!A303,0),0)</f>
        <v>0</v>
      </c>
      <c r="W10" s="263">
        <f>ROUND(IF('From PERS'!A2833,-'From PERS'!A286,0),0)</f>
        <v>0</v>
      </c>
      <c r="X10" s="263">
        <f>IF('From PERS'!A269&lt;0,-'From PERS'!A269,0)</f>
        <v>0</v>
      </c>
      <c r="Y10" s="263">
        <f>IF('From PERS'!A252&lt;0,-'From PERS'!A252,0)</f>
        <v>46088</v>
      </c>
      <c r="Z10" s="145">
        <f t="shared" si="2"/>
        <v>58465</v>
      </c>
      <c r="AA10" s="138">
        <f t="shared" si="3"/>
        <v>104553</v>
      </c>
    </row>
    <row r="11" spans="1:28" ht="13.8">
      <c r="A11" s="236" t="s">
        <v>325</v>
      </c>
      <c r="B11" s="145">
        <f>IF('From PERS'!A389&gt;0,'From PERS'!A389,0)</f>
        <v>0</v>
      </c>
      <c r="C11" s="145">
        <f>IF('From PERS'!A372&gt;0,'From PERS'!A372,0)</f>
        <v>0</v>
      </c>
      <c r="D11" s="145">
        <f>IF('From PERS'!A355&gt;0,'From PERS'!A355,0)</f>
        <v>0</v>
      </c>
      <c r="E11" s="145">
        <f>ROUND('From PERS'!A171/4.4,)</f>
        <v>7576</v>
      </c>
      <c r="F11" s="145">
        <f>ROUND(('From PERS'!A155+'From PERS'!A127)*'From PERS'!$A$164,0)</f>
        <v>27870</v>
      </c>
      <c r="G11" s="145">
        <f>ROUND(IF('From PERS'!A338&gt;0,'From PERS'!A338,0),0)</f>
        <v>0</v>
      </c>
      <c r="H11" s="145">
        <f>ROUND(IF('From PERS'!A321&gt;0,'From PERS'!A321,0),0)</f>
        <v>0</v>
      </c>
      <c r="I11" s="145">
        <f>ROUND(IF('From PERS'!A304&gt;0,'From PERS'!A304,0),0)</f>
        <v>1762</v>
      </c>
      <c r="J11" s="145">
        <f>ROUND(IF('From PERS'!A287&gt;0,'From PERS'!A287,0),0)</f>
        <v>290</v>
      </c>
      <c r="K11" s="145">
        <f>IF('From PERS'!A270&gt;0,'From PERS'!A270,0)</f>
        <v>12930</v>
      </c>
      <c r="L11" s="145">
        <f>IF('From PERS'!A253&gt;0,'From PERS'!A253,0)</f>
        <v>0</v>
      </c>
      <c r="M11" s="145">
        <f>IF($F$35&gt;0,F33,0)</f>
        <v>0</v>
      </c>
      <c r="N11" s="138">
        <f>SUM(B11:M11)</f>
        <v>50428</v>
      </c>
      <c r="P11" s="236" t="str">
        <f t="shared" si="1"/>
        <v>FY2023</v>
      </c>
      <c r="Q11" s="145">
        <f>IF('From PERS'!A389&lt;0,-'From PERS'!A389,0)</f>
        <v>0</v>
      </c>
      <c r="R11" s="145">
        <f>IF('From PERS'!A372&lt;0,-'From PERS'!A372,0)</f>
        <v>0</v>
      </c>
      <c r="S11" s="145">
        <f>IF('From PERS'!A355&lt;0,-'From PERS'!A355,0)</f>
        <v>0</v>
      </c>
      <c r="T11" s="263">
        <f>ROUND(IF('From PERS'!A338&lt;0,-'From PERS'!A338,0),0)</f>
        <v>0</v>
      </c>
      <c r="U11" s="263">
        <f>ROUND(IF('From PERS'!A321&lt;0,-'From PERS'!A321,0),0)</f>
        <v>0</v>
      </c>
      <c r="V11" s="263">
        <f>ROUND(IF('From PERS'!A304&lt;0,-'From PERS'!A304,0),0)</f>
        <v>0</v>
      </c>
      <c r="W11" s="263">
        <f>ROUND(IF('From PERS'!A2834,-'From PERS'!A287,0),0)</f>
        <v>0</v>
      </c>
      <c r="X11" s="263">
        <f>IF('From PERS'!A270&lt;0,-'From PERS'!A270,0)</f>
        <v>0</v>
      </c>
      <c r="Y11" s="263">
        <f>IF('From PERS'!A253&lt;0,-'From PERS'!A253,0)</f>
        <v>46088</v>
      </c>
      <c r="Z11" s="145">
        <f t="shared" si="2"/>
        <v>17994</v>
      </c>
      <c r="AA11" s="138">
        <f t="shared" si="3"/>
        <v>64082</v>
      </c>
    </row>
    <row r="12" spans="1:28" ht="13.8">
      <c r="A12" s="236" t="s">
        <v>382</v>
      </c>
      <c r="B12" s="145">
        <f>IF('From PERS'!A390&gt;0,'From PERS'!A390,0)</f>
        <v>0</v>
      </c>
      <c r="C12" s="145">
        <f>IF('From PERS'!A373&gt;0,'From PERS'!A373,0)</f>
        <v>0</v>
      </c>
      <c r="D12" s="145">
        <f>IF('From PERS'!A356&gt;0,'From PERS'!A356,0)</f>
        <v>0</v>
      </c>
      <c r="E12" s="174">
        <f>ROUND(ROUND('From PERS'!A171/4.4,)*0.4,)+2</f>
        <v>3032</v>
      </c>
      <c r="F12" s="145">
        <f>ROUND(('From PERS'!A156+'From PERS'!A128)*'From PERS'!$A$164,0)</f>
        <v>5574</v>
      </c>
      <c r="G12" s="145">
        <f>ROUND(IF('From PERS'!A339&gt;0,'From PERS'!A339,0),0)</f>
        <v>0</v>
      </c>
      <c r="H12" s="145">
        <f>ROUND(IF('From PERS'!A322&gt;0,'From PERS'!A322,0),0)</f>
        <v>0</v>
      </c>
      <c r="I12" s="145">
        <f>ROUND(IF('From PERS'!A305&gt;0,'From PERS'!A305,0),0)</f>
        <v>0</v>
      </c>
      <c r="J12" s="145">
        <f>ROUND(IF('From PERS'!A288&gt;0,'From PERS'!A288,0),0)</f>
        <v>0</v>
      </c>
      <c r="K12" s="145">
        <f>IF('From PERS'!A271&gt;0,'From PERS'!A271,0)</f>
        <v>2585</v>
      </c>
      <c r="L12" s="145">
        <f>IF('From PERS'!A254&gt;0,'From PERS'!A254,0)</f>
        <v>0</v>
      </c>
      <c r="M12" s="145">
        <f>IF($F$35&gt;0,F34,0)</f>
        <v>0</v>
      </c>
      <c r="N12" s="138">
        <f>SUM(B12:M12)</f>
        <v>11191</v>
      </c>
      <c r="P12" s="236" t="str">
        <f t="shared" si="1"/>
        <v>FY2024</v>
      </c>
      <c r="Q12" s="145">
        <f>IF('From PERS'!A390&lt;0,-'From PERS'!A390,0)</f>
        <v>0</v>
      </c>
      <c r="R12" s="145">
        <f>IF('From PERS'!A373&lt;0,-'From PERS'!A373,0)</f>
        <v>0</v>
      </c>
      <c r="S12" s="145">
        <f>IF('From PERS'!A356&lt;0,-'From PERS'!A356,0)</f>
        <v>0</v>
      </c>
      <c r="T12" s="263">
        <f>ROUND(IF('From PERS'!A339&lt;0,-'From PERS'!A339,0),0)</f>
        <v>0</v>
      </c>
      <c r="U12" s="263">
        <f>ROUND(IF('From PERS'!A322&lt;0,-'From PERS'!A322,0),0)</f>
        <v>0</v>
      </c>
      <c r="V12" s="263">
        <f>ROUND(IF('From PERS'!A305&lt;0,-'From PERS'!A305,0),0)</f>
        <v>0</v>
      </c>
      <c r="W12" s="263">
        <f>ROUND(IF('From PERS'!A2835,-'From PERS'!A288,0),0)</f>
        <v>0</v>
      </c>
      <c r="X12" s="263">
        <f>IF('From PERS'!A271&lt;0,-'From PERS'!A271,0)</f>
        <v>0</v>
      </c>
      <c r="Y12" s="263">
        <f>IF('From PERS'!A254&lt;0,-'From PERS'!A254,0)</f>
        <v>9217</v>
      </c>
      <c r="Z12" s="145">
        <f t="shared" si="2"/>
        <v>0</v>
      </c>
      <c r="AA12" s="138">
        <f t="shared" si="3"/>
        <v>9217</v>
      </c>
    </row>
    <row r="13" spans="1:28" ht="13.8">
      <c r="A13" s="311" t="s">
        <v>62</v>
      </c>
      <c r="B13" s="137">
        <f t="shared" ref="B13" si="4">SUM(B8:B12)</f>
        <v>1947</v>
      </c>
      <c r="C13" s="137">
        <f>SUM(C8:C12)</f>
        <v>473</v>
      </c>
      <c r="D13" s="137">
        <f>SUM(D8:D12)</f>
        <v>0</v>
      </c>
      <c r="E13" s="137">
        <f t="shared" ref="E13" si="5">SUM(E8:E12)</f>
        <v>33336</v>
      </c>
      <c r="F13" s="137">
        <f t="shared" ref="F13:N13" si="6">SUM(F8:F12)</f>
        <v>227843</v>
      </c>
      <c r="G13" s="137">
        <f t="shared" si="6"/>
        <v>25360</v>
      </c>
      <c r="H13" s="137">
        <f t="shared" si="6"/>
        <v>8033</v>
      </c>
      <c r="I13" s="137">
        <f t="shared" si="6"/>
        <v>19390</v>
      </c>
      <c r="J13" s="137">
        <f t="shared" si="6"/>
        <v>3188</v>
      </c>
      <c r="K13" s="137">
        <f t="shared" si="6"/>
        <v>54305</v>
      </c>
      <c r="L13" s="137">
        <f t="shared" si="6"/>
        <v>0</v>
      </c>
      <c r="M13" s="137">
        <f t="shared" si="6"/>
        <v>0</v>
      </c>
      <c r="N13" s="137">
        <f t="shared" si="6"/>
        <v>373875</v>
      </c>
      <c r="P13" s="103"/>
      <c r="Q13" s="137">
        <f t="shared" ref="Q13:Y13" si="7">SUM(Q8:Q12)</f>
        <v>0</v>
      </c>
      <c r="R13" s="137">
        <f t="shared" si="7"/>
        <v>0</v>
      </c>
      <c r="S13" s="137">
        <f t="shared" si="7"/>
        <v>9291</v>
      </c>
      <c r="T13" s="137">
        <f t="shared" si="7"/>
        <v>0</v>
      </c>
      <c r="U13" s="137">
        <f t="shared" si="7"/>
        <v>0</v>
      </c>
      <c r="V13" s="137">
        <f t="shared" si="7"/>
        <v>0</v>
      </c>
      <c r="W13" s="137">
        <f t="shared" si="7"/>
        <v>0</v>
      </c>
      <c r="X13" s="137">
        <f t="shared" si="7"/>
        <v>0</v>
      </c>
      <c r="Y13" s="137">
        <f t="shared" si="7"/>
        <v>193569</v>
      </c>
      <c r="Z13" s="137">
        <f t="shared" ref="Z13" si="8">SUM(Z8:Z12)</f>
        <v>43517</v>
      </c>
      <c r="AA13" s="137">
        <f>SUM(AA8:AA12)</f>
        <v>246377</v>
      </c>
      <c r="AB13" s="145"/>
    </row>
    <row r="14" spans="1:28" ht="13.8">
      <c r="B14" s="309">
        <f>IF(B13=0,0,(B13+Q13-'From PERS'!A384))</f>
        <v>0</v>
      </c>
      <c r="C14" s="309">
        <f>IF(C13=0,0,(C13+R13-'From PERS'!A367))</f>
        <v>0</v>
      </c>
      <c r="D14" s="154">
        <f>IF(D13=0,0,(D13+S13-'From PERS'!A384))</f>
        <v>0</v>
      </c>
      <c r="E14" s="309">
        <f>E13-'From PERS'!A171</f>
        <v>0</v>
      </c>
      <c r="F14" s="309">
        <f>F13-'State Schedule'!C27</f>
        <v>0</v>
      </c>
      <c r="G14" s="309">
        <f>IF(G13=0,0,(G13+U13-'From PERS'!A333))</f>
        <v>0</v>
      </c>
      <c r="H14" s="309">
        <f>IF(H13=0,0,(H13+U13-'From PERS'!A316))</f>
        <v>0</v>
      </c>
      <c r="I14" s="309">
        <f>IF(I13=0,0,(I13+V13-'From PERS'!A299))</f>
        <v>0</v>
      </c>
      <c r="J14" s="309">
        <f>IF(J13=0,0,(J13+W13-'From PERS'!A282))</f>
        <v>0</v>
      </c>
      <c r="K14" s="309">
        <f>IF(K13=0,0,(K13+X13-'From PERS'!A265))</f>
        <v>0</v>
      </c>
      <c r="L14" s="309">
        <f>IF(L13=0,0,(L13+Y13-'From PERS'!A248))</f>
        <v>0</v>
      </c>
      <c r="M14" s="309">
        <f>IF(M13=0,0,(M13+Z13-'From PERS'!A173))</f>
        <v>0</v>
      </c>
      <c r="N14" s="235"/>
      <c r="P14" s="103"/>
      <c r="Q14" s="154">
        <f>IF(Q13=0,0,Q13+B13+'From PERS'!A384)</f>
        <v>0</v>
      </c>
      <c r="R14" s="154">
        <f>IF(R13=0,0,R13+C13+'From PERS'!A384)</f>
        <v>0</v>
      </c>
      <c r="S14" s="154">
        <f>IF(S13=0,0,S13+D13+'From PERS'!A350)</f>
        <v>0</v>
      </c>
      <c r="T14" s="154">
        <f>IF(T13=0,0,(T13+AH13+'From PERS'!A333))</f>
        <v>0</v>
      </c>
      <c r="U14" s="154">
        <f>IF(U13=0,0,U13+F13+'From PERS'!A333)</f>
        <v>0</v>
      </c>
      <c r="V14" s="154">
        <f>IF(V13=0,0,(V13+'From PERS'!A265))</f>
        <v>0</v>
      </c>
      <c r="W14" s="154">
        <f>IF(W13=0,0,(W13+'From PERS'!A248))</f>
        <v>0</v>
      </c>
      <c r="X14" s="154">
        <f>IF(X13=0,0,(X13+'From PERS'!A265))</f>
        <v>0</v>
      </c>
      <c r="Y14" s="154">
        <f>IF(Y13=0,0,(Y13+'From PERS'!A248))</f>
        <v>0</v>
      </c>
      <c r="Z14" s="154">
        <f>Z13+F35</f>
        <v>0</v>
      </c>
      <c r="AA14" s="235"/>
    </row>
    <row r="15" spans="1:28" ht="13.8">
      <c r="B15" s="150"/>
      <c r="C15" s="150"/>
      <c r="D15" s="150"/>
      <c r="E15" s="150"/>
      <c r="F15" s="150"/>
      <c r="G15" s="150"/>
      <c r="H15" s="150"/>
      <c r="I15" s="150"/>
      <c r="J15" s="150"/>
      <c r="K15" s="150"/>
      <c r="L15" s="150"/>
      <c r="M15" s="150"/>
      <c r="N15" s="154">
        <f>N13-'State Schedule'!C31</f>
        <v>0</v>
      </c>
      <c r="P15" s="103"/>
      <c r="Q15" s="150"/>
      <c r="R15" s="150"/>
      <c r="S15" s="150"/>
      <c r="T15" s="150"/>
      <c r="U15" s="150"/>
      <c r="V15" s="150"/>
      <c r="W15" s="150"/>
      <c r="X15" s="310"/>
      <c r="Y15" s="310"/>
      <c r="Z15" s="150"/>
      <c r="AA15" s="154">
        <f>AA13-'State Schedule'!D33</f>
        <v>0</v>
      </c>
    </row>
    <row r="16" spans="1:28">
      <c r="F16"/>
      <c r="I16" s="243"/>
      <c r="P16" s="103"/>
    </row>
    <row r="17" spans="1:23">
      <c r="F17" s="150"/>
      <c r="G17"/>
      <c r="K17" s="150"/>
      <c r="L17" s="275"/>
      <c r="M17" s="145"/>
      <c r="N17" s="228"/>
      <c r="P17" s="103"/>
      <c r="W17" s="145"/>
    </row>
    <row r="18" spans="1:23">
      <c r="H18"/>
      <c r="I18"/>
      <c r="J18"/>
      <c r="P18" s="103"/>
    </row>
    <row r="19" spans="1:23">
      <c r="H19"/>
      <c r="K19" s="150" t="s">
        <v>260</v>
      </c>
      <c r="L19" s="145">
        <f>-(B35+C35+D35+E35)</f>
        <v>43517</v>
      </c>
      <c r="P19" s="103"/>
    </row>
    <row r="20" spans="1:23">
      <c r="H20"/>
      <c r="K20" s="150" t="s">
        <v>241</v>
      </c>
      <c r="L20" s="145">
        <f>'From PERS'!A178+'From PERS'!A173</f>
        <v>43517</v>
      </c>
      <c r="M20" s="103" t="s">
        <v>228</v>
      </c>
      <c r="P20" s="103"/>
    </row>
    <row r="21" spans="1:23">
      <c r="H21"/>
      <c r="L21" s="175">
        <f>L19-L20</f>
        <v>0</v>
      </c>
      <c r="M21" s="235" t="s">
        <v>262</v>
      </c>
      <c r="P21" s="103"/>
    </row>
    <row r="22" spans="1:23">
      <c r="H22"/>
      <c r="P22" s="103"/>
    </row>
    <row r="23" spans="1:23" s="111" customFormat="1" ht="16.95" customHeight="1">
      <c r="A23" s="209" t="s">
        <v>148</v>
      </c>
      <c r="B23" s="209"/>
      <c r="C23" s="103"/>
      <c r="D23" s="103"/>
      <c r="E23" s="103"/>
    </row>
    <row r="24" spans="1:23" ht="13.8">
      <c r="B24" s="103">
        <v>2016</v>
      </c>
      <c r="C24" s="103">
        <v>2017</v>
      </c>
      <c r="D24" s="103">
        <v>2018</v>
      </c>
      <c r="E24" s="103">
        <v>2019</v>
      </c>
      <c r="P24" s="103"/>
    </row>
    <row r="25" spans="1:23" ht="27.6">
      <c r="A25" s="355" t="s">
        <v>47</v>
      </c>
      <c r="B25" s="125" t="s">
        <v>251</v>
      </c>
      <c r="C25" s="125" t="s">
        <v>251</v>
      </c>
      <c r="D25" s="125" t="s">
        <v>251</v>
      </c>
      <c r="E25" s="125" t="s">
        <v>251</v>
      </c>
      <c r="F25" s="103" t="s">
        <v>62</v>
      </c>
      <c r="H25" s="125"/>
      <c r="P25" s="103"/>
    </row>
    <row r="26" spans="1:23">
      <c r="A26" s="355"/>
      <c r="B26" s="153">
        <v>5</v>
      </c>
      <c r="C26" s="152">
        <v>5</v>
      </c>
      <c r="D26" s="152">
        <v>5</v>
      </c>
      <c r="E26" s="152">
        <f>'From PERS'!A7</f>
        <v>5</v>
      </c>
      <c r="H26" s="153"/>
      <c r="P26" s="103"/>
      <c r="Q26"/>
      <c r="R26"/>
    </row>
    <row r="27" spans="1:23">
      <c r="A27" s="236"/>
      <c r="B27" s="125"/>
      <c r="C27" s="125"/>
      <c r="D27" s="125"/>
      <c r="E27" s="125"/>
      <c r="H27" s="125"/>
      <c r="P27" s="103"/>
      <c r="Q27"/>
      <c r="R27"/>
    </row>
    <row r="28" spans="1:23">
      <c r="A28" s="236" t="s">
        <v>215</v>
      </c>
      <c r="B28" s="262">
        <f>ROUND('From PERS'!A50*'State Schedule'!D10,0)</f>
        <v>33588</v>
      </c>
      <c r="C28" s="145">
        <f>ROUND('From PERS'!A36*'State Schedule'!D10,0)</f>
        <v>58142</v>
      </c>
      <c r="D28" s="145">
        <f>ROUND('From PERS'!A22*'State Schedule'!D10,0)</f>
        <v>-40471</v>
      </c>
      <c r="E28" s="145">
        <f>ROUND('From PERS'!A8*'State Schedule'!D10,0)</f>
        <v>-17994</v>
      </c>
      <c r="F28" s="138">
        <f>SUM(B28:E28)</f>
        <v>33265</v>
      </c>
      <c r="H28" s="145"/>
      <c r="P28" s="103"/>
      <c r="Q28"/>
      <c r="R28"/>
    </row>
    <row r="29" spans="1:23">
      <c r="A29" s="236"/>
      <c r="B29" s="263"/>
      <c r="C29" s="145"/>
      <c r="D29" s="145"/>
      <c r="E29" s="145"/>
      <c r="F29" s="138"/>
      <c r="H29" s="145"/>
      <c r="P29" s="103"/>
      <c r="Q29"/>
      <c r="R29"/>
      <c r="U29" s="145"/>
      <c r="W29" s="145"/>
    </row>
    <row r="30" spans="1:23">
      <c r="A30" s="236" t="s">
        <v>216</v>
      </c>
      <c r="B30" s="263">
        <f>ROUND('From PERS'!A53*'State Schedule'!$D$10,0)</f>
        <v>33588</v>
      </c>
      <c r="C30" s="145">
        <f>ROUND('From PERS'!A39*'State Schedule'!$D$10,0)</f>
        <v>58142</v>
      </c>
      <c r="D30" s="145">
        <f>ROUND('From PERS'!A25*'State Schedule'!$D$10,0)</f>
        <v>-40471</v>
      </c>
      <c r="E30" s="145">
        <f>ROUND('From PERS'!A11*'State Schedule'!$D$10,0)</f>
        <v>-17994</v>
      </c>
      <c r="F30" s="138">
        <f t="shared" ref="F30:F34" si="9">SUM(B30:E30)</f>
        <v>33265</v>
      </c>
      <c r="H30" s="146"/>
      <c r="P30" s="103"/>
      <c r="Q30"/>
      <c r="R30"/>
      <c r="U30" s="145"/>
    </row>
    <row r="31" spans="1:23">
      <c r="A31" s="236" t="s">
        <v>217</v>
      </c>
      <c r="B31" s="174">
        <f>ROUND('From PERS'!A54*'State Schedule'!$D$10,0)</f>
        <v>0</v>
      </c>
      <c r="C31" s="145">
        <f>ROUND('From PERS'!A40*'State Schedule'!$D$10,0)</f>
        <v>58142</v>
      </c>
      <c r="D31" s="145">
        <f>ROUND('From PERS'!A26*'State Schedule'!$D$10,0)</f>
        <v>-40471</v>
      </c>
      <c r="E31" s="145">
        <f>ROUND('From PERS'!A12*'State Schedule'!$D$10,0)</f>
        <v>-17994</v>
      </c>
      <c r="F31" s="138">
        <f t="shared" si="9"/>
        <v>-323</v>
      </c>
      <c r="H31" s="146"/>
      <c r="P31" s="103"/>
      <c r="Q31"/>
      <c r="R31"/>
      <c r="U31" s="145"/>
    </row>
    <row r="32" spans="1:23">
      <c r="A32" s="236" t="s">
        <v>300</v>
      </c>
      <c r="B32" s="263">
        <f>ROUND('From PERS'!A55*'State Schedule'!$D$10,0)</f>
        <v>0</v>
      </c>
      <c r="C32" s="174">
        <f>ROUND('From PERS'!A41*'State Schedule'!$D$10,0)</f>
        <v>0</v>
      </c>
      <c r="D32" s="145">
        <f>ROUND('From PERS'!A27*'State Schedule'!$D$10,0)</f>
        <v>-40471</v>
      </c>
      <c r="E32" s="145">
        <f>ROUND('From PERS'!A13*'State Schedule'!$D$10,0)</f>
        <v>-17994</v>
      </c>
      <c r="F32" s="138">
        <f t="shared" si="9"/>
        <v>-58465</v>
      </c>
      <c r="H32" s="146"/>
      <c r="P32" s="103"/>
      <c r="Q32"/>
      <c r="R32"/>
      <c r="U32" s="235"/>
    </row>
    <row r="33" spans="1:21">
      <c r="A33" s="236" t="s">
        <v>325</v>
      </c>
      <c r="B33" s="263">
        <f>ROUND('From PERS'!A56*'State Schedule'!$D$10,0)</f>
        <v>0</v>
      </c>
      <c r="C33" s="145">
        <f>ROUND('From PERS'!A42*'State Schedule'!$D$10,0)</f>
        <v>0</v>
      </c>
      <c r="D33" s="145">
        <f>ROUND('From PERS'!A28*'State Schedule'!$D$10,0)</f>
        <v>0</v>
      </c>
      <c r="E33" s="145">
        <f>ROUND('From PERS'!A14*'State Schedule'!$D$10,0)</f>
        <v>-17994</v>
      </c>
      <c r="F33" s="138">
        <f t="shared" si="9"/>
        <v>-17994</v>
      </c>
      <c r="H33" s="146"/>
      <c r="P33" s="103"/>
      <c r="Q33"/>
      <c r="R33"/>
    </row>
    <row r="34" spans="1:21">
      <c r="A34" s="236" t="s">
        <v>382</v>
      </c>
      <c r="B34" s="263">
        <f>ROUND('From PERS'!A57*'State Schedule'!$D$10,0)</f>
        <v>0</v>
      </c>
      <c r="C34" s="145">
        <f>ROUND('From PERS'!A43*'State Schedule'!$D$10,0)</f>
        <v>0</v>
      </c>
      <c r="D34" s="145">
        <f>ROUND('From PERS'!A29*'State Schedule'!$D$10,0)</f>
        <v>0</v>
      </c>
      <c r="E34" s="145">
        <f>ROUND('From PERS'!A15*'State Schedule'!$D$10,0)</f>
        <v>0</v>
      </c>
      <c r="F34" s="138">
        <f t="shared" si="9"/>
        <v>0</v>
      </c>
      <c r="H34" s="146"/>
      <c r="P34" s="103"/>
      <c r="Q34"/>
      <c r="R34"/>
    </row>
    <row r="35" spans="1:21">
      <c r="A35" s="311" t="s">
        <v>62</v>
      </c>
      <c r="B35" s="137">
        <f t="shared" ref="B35:E35" si="10">SUM(B30:B34)</f>
        <v>33588</v>
      </c>
      <c r="C35" s="137">
        <f t="shared" si="10"/>
        <v>116284</v>
      </c>
      <c r="D35" s="137">
        <f t="shared" si="10"/>
        <v>-121413</v>
      </c>
      <c r="E35" s="137">
        <f t="shared" si="10"/>
        <v>-71976</v>
      </c>
      <c r="F35" s="301">
        <f>SUM(F30:F34)</f>
        <v>-43517</v>
      </c>
      <c r="H35" s="145"/>
      <c r="P35" s="103"/>
      <c r="Q35"/>
      <c r="R35"/>
    </row>
    <row r="36" spans="1:21">
      <c r="C36" s="156" t="s">
        <v>246</v>
      </c>
      <c r="D36" s="155" t="s">
        <v>246</v>
      </c>
      <c r="E36" s="155" t="s">
        <v>246</v>
      </c>
      <c r="F36" s="155"/>
      <c r="G36" s="156"/>
      <c r="H36" s="156"/>
      <c r="O36" s="150"/>
      <c r="P36" s="150"/>
      <c r="Q36"/>
      <c r="R36"/>
      <c r="T36" s="150"/>
      <c r="U36" s="145"/>
    </row>
    <row r="37" spans="1:21">
      <c r="O37" s="150"/>
      <c r="S37" s="150"/>
      <c r="T37" s="150"/>
      <c r="U37" s="145"/>
    </row>
    <row r="39" spans="1:21">
      <c r="O39" s="150"/>
      <c r="S39" s="150"/>
      <c r="T39" s="150"/>
      <c r="U39" s="145"/>
    </row>
    <row r="40" spans="1:21">
      <c r="O40" s="150"/>
      <c r="S40" s="150"/>
      <c r="T40" s="150"/>
      <c r="U40" s="145"/>
    </row>
    <row r="41" spans="1:21">
      <c r="O41" s="150"/>
      <c r="S41" s="150"/>
      <c r="T41" s="150"/>
      <c r="U41" s="145"/>
    </row>
    <row r="42" spans="1:21">
      <c r="U42" s="145"/>
    </row>
    <row r="43" spans="1:21">
      <c r="U43" s="145"/>
    </row>
    <row r="45" spans="1:21">
      <c r="U45" s="145"/>
    </row>
    <row r="46" spans="1:21">
      <c r="U46" s="145"/>
    </row>
    <row r="50" spans="21:21">
      <c r="U50" s="145"/>
    </row>
    <row r="51" spans="21:21">
      <c r="U51" s="145"/>
    </row>
    <row r="52" spans="21:21">
      <c r="U52" s="145"/>
    </row>
  </sheetData>
  <mergeCells count="11">
    <mergeCell ref="V2:W2"/>
    <mergeCell ref="X2:Y2"/>
    <mergeCell ref="P3:P4"/>
    <mergeCell ref="A3:A4"/>
    <mergeCell ref="A25:A26"/>
    <mergeCell ref="G2:H2"/>
    <mergeCell ref="C2:D2"/>
    <mergeCell ref="I2:J2"/>
    <mergeCell ref="K2:L2"/>
    <mergeCell ref="R2:S2"/>
    <mergeCell ref="T2:U2"/>
  </mergeCells>
  <pageMargins left="0.7" right="0.7" top="0.75" bottom="0.75" header="0.3" footer="0.3"/>
  <pageSetup scale="70" fitToWidth="2" orientation="portrait" horizontalDpi="300" verticalDpi="300" r:id="rId1"/>
  <colBreaks count="1" manualBreakCount="1">
    <brk id="22"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G50"/>
  <sheetViews>
    <sheetView topLeftCell="AC1" workbookViewId="0">
      <selection activeCell="AF11" sqref="AF11"/>
    </sheetView>
  </sheetViews>
  <sheetFormatPr defaultColWidth="9.109375" defaultRowHeight="13.8"/>
  <cols>
    <col min="1" max="1" width="18.88671875" style="103" hidden="1" customWidth="1"/>
    <col min="2" max="8" width="11.88671875" style="103" hidden="1" customWidth="1"/>
    <col min="9" max="9" width="12.33203125" style="103" hidden="1" customWidth="1"/>
    <col min="10" max="10" width="14.33203125" style="103" hidden="1" customWidth="1"/>
    <col min="11" max="12" width="12.44140625" style="103" hidden="1" customWidth="1"/>
    <col min="13" max="13" width="19" style="103" hidden="1" customWidth="1"/>
    <col min="14" max="14" width="12.33203125" style="103" hidden="1" customWidth="1"/>
    <col min="15" max="15" width="11.88671875" style="103" hidden="1" customWidth="1"/>
    <col min="16" max="16" width="19.109375" style="103" hidden="1" customWidth="1"/>
    <col min="17" max="17" width="14" style="103" hidden="1" customWidth="1"/>
    <col min="18" max="18" width="11.88671875" style="103" hidden="1" customWidth="1"/>
    <col min="19" max="19" width="17.88671875" style="103" hidden="1" customWidth="1"/>
    <col min="20" max="20" width="12.6640625" style="103" hidden="1" customWidth="1"/>
    <col min="21" max="21" width="12" style="103" hidden="1" customWidth="1"/>
    <col min="22" max="22" width="12.109375" style="103" hidden="1" customWidth="1"/>
    <col min="23" max="23" width="14" style="103" hidden="1" customWidth="1"/>
    <col min="24" max="24" width="11.88671875" style="103" hidden="1" customWidth="1"/>
    <col min="25" max="25" width="17.88671875" style="103" hidden="1" customWidth="1"/>
    <col min="26" max="26" width="18" style="103" hidden="1" customWidth="1"/>
    <col min="27" max="27" width="11.44140625" style="103" hidden="1" customWidth="1"/>
    <col min="28" max="28" width="9.109375" style="103" hidden="1" customWidth="1"/>
    <col min="29" max="29" width="9.109375" style="103"/>
    <col min="30" max="30" width="18.5546875" style="103" bestFit="1" customWidth="1"/>
    <col min="31" max="31" width="0.88671875" style="103" customWidth="1"/>
    <col min="32" max="32" width="12.6640625" style="103" customWidth="1"/>
    <col min="33" max="16384" width="9.109375" style="103"/>
  </cols>
  <sheetData>
    <row r="1" spans="1:33">
      <c r="A1" s="359" t="s">
        <v>214</v>
      </c>
      <c r="B1" s="359"/>
      <c r="C1" s="359"/>
      <c r="D1" s="359"/>
      <c r="E1" s="359"/>
      <c r="F1" s="359"/>
      <c r="G1" s="359"/>
      <c r="H1" s="359"/>
      <c r="I1" s="359"/>
      <c r="J1" s="359"/>
      <c r="K1" s="359"/>
      <c r="L1" s="359"/>
      <c r="M1" s="359"/>
      <c r="N1" s="359"/>
      <c r="P1" s="358" t="s">
        <v>230</v>
      </c>
      <c r="Q1" s="358"/>
      <c r="R1" s="358"/>
      <c r="S1" s="358"/>
      <c r="T1" s="358"/>
      <c r="U1" s="358"/>
      <c r="V1" s="358"/>
      <c r="W1" s="358"/>
      <c r="X1" s="358"/>
      <c r="Y1" s="358"/>
      <c r="Z1" s="358"/>
      <c r="AA1" s="358"/>
    </row>
    <row r="2" spans="1:33">
      <c r="A2" s="103" t="s">
        <v>254</v>
      </c>
      <c r="B2" s="315">
        <f>'Table 2'!B2</f>
        <v>41455</v>
      </c>
      <c r="C2" s="360">
        <f>'Table 2'!C2</f>
        <v>41820</v>
      </c>
      <c r="D2" s="360"/>
      <c r="E2" s="315"/>
      <c r="F2" s="315"/>
      <c r="G2" s="360">
        <f>'Table 2'!G2</f>
        <v>42185</v>
      </c>
      <c r="H2" s="360"/>
      <c r="I2" s="360">
        <f>'Table 2'!I2</f>
        <v>42551</v>
      </c>
      <c r="J2" s="360"/>
      <c r="K2" s="360">
        <f>'Table 2'!K2</f>
        <v>42916</v>
      </c>
      <c r="L2" s="360"/>
      <c r="M2" s="315"/>
      <c r="P2" s="103" t="s">
        <v>254</v>
      </c>
      <c r="Q2" s="316">
        <f>'Table 2'!Q2</f>
        <v>41455</v>
      </c>
      <c r="R2" s="361">
        <f>'Table 2'!R2</f>
        <v>41820</v>
      </c>
      <c r="S2" s="361"/>
      <c r="T2" s="361">
        <f>'Table 2'!T2</f>
        <v>42185</v>
      </c>
      <c r="U2" s="361"/>
      <c r="V2" s="361">
        <f>'Table 2'!V2</f>
        <v>42551</v>
      </c>
      <c r="W2" s="361"/>
      <c r="X2" s="361">
        <f>'Table 2'!X2</f>
        <v>42916</v>
      </c>
      <c r="Y2" s="361"/>
      <c r="Z2" s="316"/>
    </row>
    <row r="3" spans="1:33" ht="55.2">
      <c r="B3" s="201" t="str">
        <f>'Table 2'!B3</f>
        <v>Difference in Contributions</v>
      </c>
      <c r="C3" s="201" t="str">
        <f>'Table 2'!C3</f>
        <v>Difference in Contributions</v>
      </c>
      <c r="D3" s="201" t="str">
        <f>'Table 2'!D3</f>
        <v>Change in Proportionate Share</v>
      </c>
      <c r="E3" s="201" t="str">
        <f>'Table 2'!E3</f>
        <v>Difference in experience</v>
      </c>
      <c r="F3" s="201" t="str">
        <f>'Table 2'!F3</f>
        <v>Change in assumption</v>
      </c>
      <c r="G3" s="201" t="str">
        <f>'Table 2'!G3</f>
        <v>Difference in Contributions</v>
      </c>
      <c r="H3" s="201" t="str">
        <f>'Table 2'!H3</f>
        <v>Change in Proportionate Share</v>
      </c>
      <c r="I3" s="201" t="str">
        <f>'Table 2'!I3</f>
        <v>Difference in Contributions</v>
      </c>
      <c r="J3" s="201" t="str">
        <f>'Table 2'!J3</f>
        <v>Change in Proportionate Share</v>
      </c>
      <c r="K3" s="201" t="str">
        <f>'Table 2'!K3</f>
        <v>Difference in Contributions</v>
      </c>
      <c r="L3" s="201" t="str">
        <f>'Table 2'!L3</f>
        <v>Change in Proportionate Share</v>
      </c>
      <c r="M3" s="201" t="str">
        <f>'Table 2'!M3</f>
        <v>Net difference between projected and actual earnings on investments</v>
      </c>
      <c r="N3" s="236" t="s">
        <v>62</v>
      </c>
      <c r="P3" s="110"/>
      <c r="Q3" s="316" t="str">
        <f>'Table 2'!Q3</f>
        <v>Difference in Contributions</v>
      </c>
      <c r="R3" s="316" t="str">
        <f>'Table 2'!R3</f>
        <v>Difference in Contributions</v>
      </c>
      <c r="S3" s="316" t="str">
        <f>'Table 2'!S3</f>
        <v>Change in Proportionate Share</v>
      </c>
      <c r="T3" s="316" t="str">
        <f>'Table 2'!T3</f>
        <v>Difference in Contributions</v>
      </c>
      <c r="U3" s="316" t="str">
        <f>'Table 2'!U3</f>
        <v>Change in Proportionate Share</v>
      </c>
      <c r="V3" s="316" t="str">
        <f>'Table 2'!V3</f>
        <v>Difference in Contributions</v>
      </c>
      <c r="W3" s="316" t="str">
        <f>'Table 2'!W3</f>
        <v>Change in Proportionate Share</v>
      </c>
      <c r="X3" s="316" t="str">
        <f>'Table 2'!X3</f>
        <v>Difference in Contributions</v>
      </c>
      <c r="Y3" s="316" t="str">
        <f>'Table 2'!Y3</f>
        <v>Change in Proportionate Share</v>
      </c>
      <c r="Z3" s="316" t="str">
        <f>'Table 2'!Z3</f>
        <v>Net difference between projected and actual earnings on investments</v>
      </c>
      <c r="AA3" s="236" t="s">
        <v>62</v>
      </c>
    </row>
    <row r="4" spans="1:33">
      <c r="A4" s="110" t="s">
        <v>47</v>
      </c>
      <c r="B4" s="198">
        <f>'Table 2'!B4</f>
        <v>5.6</v>
      </c>
      <c r="C4" s="198">
        <f>'Table 2'!C4</f>
        <v>5.4</v>
      </c>
      <c r="D4" s="198">
        <f>'Table 2'!D4</f>
        <v>5.4</v>
      </c>
      <c r="E4" s="198">
        <f>'Table 2'!E4</f>
        <v>5.4</v>
      </c>
      <c r="F4" s="198">
        <f>'Table 2'!F4</f>
        <v>5</v>
      </c>
      <c r="G4" s="198">
        <f>'Table 2'!G4</f>
        <v>5.3</v>
      </c>
      <c r="H4" s="198">
        <f>'Table 2'!H4</f>
        <v>5.3</v>
      </c>
      <c r="I4" s="198">
        <f>'Table 2'!I4</f>
        <v>5.3</v>
      </c>
      <c r="J4" s="198">
        <f>'Table 2'!J4</f>
        <v>5.3</v>
      </c>
      <c r="K4" s="198">
        <f>'Table 2'!K4</f>
        <v>5.2</v>
      </c>
      <c r="L4" s="198">
        <f>'Table 2'!L4</f>
        <v>5.2</v>
      </c>
      <c r="M4" s="198"/>
      <c r="P4" s="110" t="s">
        <v>47</v>
      </c>
      <c r="Q4" s="198">
        <f>'Table 2'!Q4</f>
        <v>5.6</v>
      </c>
      <c r="R4" s="198">
        <f>'Table 2'!R4</f>
        <v>5.4</v>
      </c>
      <c r="S4" s="198">
        <f>'Table 2'!S4</f>
        <v>5.4</v>
      </c>
      <c r="T4" s="198">
        <f>'Table 2'!T4</f>
        <v>5</v>
      </c>
      <c r="U4" s="198">
        <f>'Table 2'!U4</f>
        <v>5.3</v>
      </c>
      <c r="V4" s="198">
        <f>'Table 2'!V4</f>
        <v>5.3</v>
      </c>
      <c r="W4" s="198">
        <f>'Table 2'!W4</f>
        <v>5.3</v>
      </c>
      <c r="X4" s="198">
        <f>'Table 2'!X4</f>
        <v>5.3</v>
      </c>
      <c r="Y4" s="198">
        <f>'Table 2'!Y4</f>
        <v>5.2</v>
      </c>
      <c r="Z4" s="198">
        <f>'Table 2'!Z4</f>
        <v>0</v>
      </c>
      <c r="AD4" s="325" t="s">
        <v>320</v>
      </c>
      <c r="AE4" s="110"/>
      <c r="AF4" s="100"/>
      <c r="AG4" s="100"/>
    </row>
    <row r="5" spans="1:33">
      <c r="A5" s="110" t="str">
        <f>'Table 2'!A8</f>
        <v>FY2020</v>
      </c>
      <c r="B5" s="199">
        <f>'Table 2'!B8</f>
        <v>1947</v>
      </c>
      <c r="C5" s="199">
        <f>'Table 2'!C8</f>
        <v>337</v>
      </c>
      <c r="D5" s="199">
        <f>'Table 2'!D8</f>
        <v>0</v>
      </c>
      <c r="E5" s="199">
        <f>'Table 2'!E8</f>
        <v>7576</v>
      </c>
      <c r="F5" s="199">
        <f>'Table 2'!F8</f>
        <v>76039</v>
      </c>
      <c r="G5" s="199">
        <f>'Table 2'!G8</f>
        <v>11027</v>
      </c>
      <c r="H5" s="199">
        <f>'Table 2'!H8</f>
        <v>3493</v>
      </c>
      <c r="I5" s="199">
        <f>'Table 2'!I8</f>
        <v>5876</v>
      </c>
      <c r="J5" s="199">
        <f>'Table 2'!J8</f>
        <v>966</v>
      </c>
      <c r="K5" s="199">
        <f>'Table 2'!K8</f>
        <v>12930</v>
      </c>
      <c r="L5" s="199">
        <f>'Table 2'!L8</f>
        <v>0</v>
      </c>
      <c r="M5" s="199">
        <f>'Table 2'!M8</f>
        <v>0</v>
      </c>
      <c r="N5" s="200">
        <f>SUM(B5:M5)</f>
        <v>120191</v>
      </c>
      <c r="P5" s="110" t="str">
        <f>A5</f>
        <v>FY2020</v>
      </c>
      <c r="Q5" s="199">
        <f>'Table 2'!Q8</f>
        <v>0</v>
      </c>
      <c r="R5" s="199">
        <f>'Table 2'!R8</f>
        <v>0</v>
      </c>
      <c r="S5" s="199">
        <f>'Table 2'!S8</f>
        <v>6635</v>
      </c>
      <c r="T5" s="199">
        <f>'Table 2'!T8</f>
        <v>0</v>
      </c>
      <c r="U5" s="199">
        <f>'Table 2'!U8</f>
        <v>0</v>
      </c>
      <c r="V5" s="199">
        <f>'Table 2'!V8</f>
        <v>0</v>
      </c>
      <c r="W5" s="199">
        <f>'Table 2'!W8</f>
        <v>0</v>
      </c>
      <c r="X5" s="199">
        <f>'Table 2'!X8</f>
        <v>0</v>
      </c>
      <c r="Y5" s="199">
        <f>'Table 2'!Y8</f>
        <v>46088</v>
      </c>
      <c r="Z5" s="199">
        <f>'Table 2'!Z8</f>
        <v>-33265</v>
      </c>
      <c r="AA5" s="145">
        <f>'Table 2'!AA8</f>
        <v>19458</v>
      </c>
      <c r="AD5" s="329">
        <v>2019</v>
      </c>
      <c r="AE5" s="110"/>
      <c r="AF5" s="105">
        <f>+N5-AA5</f>
        <v>100733</v>
      </c>
      <c r="AG5" s="100"/>
    </row>
    <row r="6" spans="1:33">
      <c r="A6" s="110" t="str">
        <f>'Table 2'!A9</f>
        <v>FY2021</v>
      </c>
      <c r="B6" s="199">
        <f>'Table 2'!B9</f>
        <v>0</v>
      </c>
      <c r="C6" s="199">
        <f>'Table 2'!C9</f>
        <v>136</v>
      </c>
      <c r="D6" s="199">
        <f>'Table 2'!D9</f>
        <v>0</v>
      </c>
      <c r="E6" s="199">
        <f>'Table 2'!E9</f>
        <v>7576</v>
      </c>
      <c r="F6" s="199">
        <f>'Table 2'!F9</f>
        <v>76039</v>
      </c>
      <c r="G6" s="199">
        <f>'Table 2'!G9</f>
        <v>11027</v>
      </c>
      <c r="H6" s="199">
        <f>'Table 2'!H9</f>
        <v>3493</v>
      </c>
      <c r="I6" s="199">
        <f>'Table 2'!I9</f>
        <v>5876</v>
      </c>
      <c r="J6" s="199">
        <f>'Table 2'!J9</f>
        <v>966</v>
      </c>
      <c r="K6" s="199">
        <f>'Table 2'!K9</f>
        <v>12930</v>
      </c>
      <c r="L6" s="199">
        <f>'Table 2'!L9</f>
        <v>0</v>
      </c>
      <c r="M6" s="199">
        <f>'Table 2'!M9</f>
        <v>0</v>
      </c>
      <c r="N6" s="200">
        <f t="shared" ref="N6:N10" si="0">SUM(B6:M6)</f>
        <v>118043</v>
      </c>
      <c r="P6" s="110" t="str">
        <f t="shared" ref="P6:P9" si="1">A6</f>
        <v>FY2021</v>
      </c>
      <c r="Q6" s="199">
        <f>'Table 2'!Q9</f>
        <v>0</v>
      </c>
      <c r="R6" s="199">
        <f>'Table 2'!R9</f>
        <v>0</v>
      </c>
      <c r="S6" s="199">
        <f>'Table 2'!S9</f>
        <v>2656</v>
      </c>
      <c r="T6" s="199">
        <f>'Table 2'!T9</f>
        <v>0</v>
      </c>
      <c r="U6" s="199">
        <f>'Table 2'!U9</f>
        <v>0</v>
      </c>
      <c r="V6" s="199">
        <f>'Table 2'!V9</f>
        <v>0</v>
      </c>
      <c r="W6" s="199">
        <f>'Table 2'!W9</f>
        <v>0</v>
      </c>
      <c r="X6" s="199">
        <f>'Table 2'!X9</f>
        <v>0</v>
      </c>
      <c r="Y6" s="199">
        <f>'Table 2'!Y9</f>
        <v>46088</v>
      </c>
      <c r="Z6" s="199">
        <f>'Table 2'!Z9</f>
        <v>323</v>
      </c>
      <c r="AA6" s="145">
        <f>'Table 2'!AA9</f>
        <v>49067</v>
      </c>
      <c r="AD6" s="110">
        <f>AD5+1</f>
        <v>2020</v>
      </c>
      <c r="AE6" s="110"/>
      <c r="AF6" s="106">
        <f t="shared" ref="AF6:AF10" si="2">+N6-AA6</f>
        <v>68976</v>
      </c>
      <c r="AG6" s="100"/>
    </row>
    <row r="7" spans="1:33">
      <c r="A7" s="110" t="str">
        <f>'Table 2'!A10</f>
        <v>FY2022</v>
      </c>
      <c r="B7" s="199">
        <f>'Table 2'!B10</f>
        <v>0</v>
      </c>
      <c r="C7" s="199">
        <f>'Table 2'!C10</f>
        <v>0</v>
      </c>
      <c r="D7" s="199">
        <f>'Table 2'!D10</f>
        <v>0</v>
      </c>
      <c r="E7" s="199">
        <f>'Table 2'!E10</f>
        <v>7576</v>
      </c>
      <c r="F7" s="199">
        <f>'Table 2'!F10</f>
        <v>42321</v>
      </c>
      <c r="G7" s="199">
        <f>'Table 2'!G10</f>
        <v>3306</v>
      </c>
      <c r="H7" s="199">
        <f>'Table 2'!H10</f>
        <v>1047</v>
      </c>
      <c r="I7" s="199">
        <f>'Table 2'!I10</f>
        <v>5876</v>
      </c>
      <c r="J7" s="199">
        <f>'Table 2'!J10</f>
        <v>966</v>
      </c>
      <c r="K7" s="199">
        <f>'Table 2'!K10</f>
        <v>12930</v>
      </c>
      <c r="L7" s="199">
        <f>'Table 2'!L10</f>
        <v>0</v>
      </c>
      <c r="M7" s="199">
        <f>'Table 2'!M10</f>
        <v>0</v>
      </c>
      <c r="N7" s="200">
        <f t="shared" si="0"/>
        <v>74022</v>
      </c>
      <c r="P7" s="110" t="str">
        <f t="shared" si="1"/>
        <v>FY2022</v>
      </c>
      <c r="Q7" s="199">
        <f>'Table 2'!Q10</f>
        <v>0</v>
      </c>
      <c r="R7" s="199">
        <f>'Table 2'!R10</f>
        <v>0</v>
      </c>
      <c r="S7" s="199">
        <f>'Table 2'!S10</f>
        <v>0</v>
      </c>
      <c r="T7" s="199">
        <f>'Table 2'!T10</f>
        <v>0</v>
      </c>
      <c r="U7" s="199">
        <f>'Table 2'!U10</f>
        <v>0</v>
      </c>
      <c r="V7" s="199">
        <f>'Table 2'!V10</f>
        <v>0</v>
      </c>
      <c r="W7" s="199">
        <f>'Table 2'!W10</f>
        <v>0</v>
      </c>
      <c r="X7" s="199">
        <f>'Table 2'!X10</f>
        <v>0</v>
      </c>
      <c r="Y7" s="199">
        <f>'Table 2'!Y10</f>
        <v>46088</v>
      </c>
      <c r="Z7" s="199">
        <f>'Table 2'!Z10</f>
        <v>58465</v>
      </c>
      <c r="AA7" s="145">
        <f>'Table 2'!AA10</f>
        <v>104553</v>
      </c>
      <c r="AD7" s="110">
        <f t="shared" ref="AD7:AD9" si="3">AD6+1</f>
        <v>2021</v>
      </c>
      <c r="AE7" s="110"/>
      <c r="AF7" s="106">
        <f t="shared" si="2"/>
        <v>-30531</v>
      </c>
      <c r="AG7" s="100"/>
    </row>
    <row r="8" spans="1:33">
      <c r="A8" s="110" t="str">
        <f>'Table 2'!A11</f>
        <v>FY2023</v>
      </c>
      <c r="B8" s="199">
        <f>'Table 2'!B11</f>
        <v>0</v>
      </c>
      <c r="C8" s="199">
        <f>'Table 2'!C11</f>
        <v>0</v>
      </c>
      <c r="D8" s="199">
        <f>'Table 2'!D11</f>
        <v>0</v>
      </c>
      <c r="E8" s="199">
        <f>'Table 2'!E11</f>
        <v>7576</v>
      </c>
      <c r="F8" s="199">
        <f>'Table 2'!F11</f>
        <v>27870</v>
      </c>
      <c r="G8" s="199">
        <f>'Table 2'!G11</f>
        <v>0</v>
      </c>
      <c r="H8" s="199">
        <f>'Table 2'!H11</f>
        <v>0</v>
      </c>
      <c r="I8" s="199">
        <f>'Table 2'!I11</f>
        <v>1762</v>
      </c>
      <c r="J8" s="199">
        <f>'Table 2'!J11</f>
        <v>290</v>
      </c>
      <c r="K8" s="199">
        <f>'Table 2'!K11</f>
        <v>12930</v>
      </c>
      <c r="L8" s="199">
        <f>'Table 2'!L11</f>
        <v>0</v>
      </c>
      <c r="M8" s="199">
        <f>'Table 2'!M11</f>
        <v>0</v>
      </c>
      <c r="N8" s="200">
        <f t="shared" si="0"/>
        <v>50428</v>
      </c>
      <c r="P8" s="110" t="str">
        <f t="shared" si="1"/>
        <v>FY2023</v>
      </c>
      <c r="Q8" s="199">
        <f>'Table 2'!Q11</f>
        <v>0</v>
      </c>
      <c r="R8" s="199">
        <f>'Table 2'!R11</f>
        <v>0</v>
      </c>
      <c r="S8" s="199">
        <f>'Table 2'!S11</f>
        <v>0</v>
      </c>
      <c r="T8" s="199">
        <f>'Table 2'!T11</f>
        <v>0</v>
      </c>
      <c r="U8" s="199">
        <f>'Table 2'!U11</f>
        <v>0</v>
      </c>
      <c r="V8" s="199">
        <f>'Table 2'!V11</f>
        <v>0</v>
      </c>
      <c r="W8" s="199">
        <f>'Table 2'!W11</f>
        <v>0</v>
      </c>
      <c r="X8" s="199">
        <f>'Table 2'!X11</f>
        <v>0</v>
      </c>
      <c r="Y8" s="199">
        <f>'Table 2'!Y11</f>
        <v>46088</v>
      </c>
      <c r="Z8" s="199">
        <f>'Table 2'!Z11</f>
        <v>17994</v>
      </c>
      <c r="AA8" s="145">
        <f>'Table 2'!AA11</f>
        <v>64082</v>
      </c>
      <c r="AD8" s="110">
        <f t="shared" si="3"/>
        <v>2022</v>
      </c>
      <c r="AE8" s="110"/>
      <c r="AF8" s="106">
        <f t="shared" si="2"/>
        <v>-13654</v>
      </c>
      <c r="AG8" s="100"/>
    </row>
    <row r="9" spans="1:33">
      <c r="A9" s="110" t="str">
        <f>'Table 2'!A12</f>
        <v>FY2024</v>
      </c>
      <c r="B9" s="199">
        <f>'Table 2'!B12</f>
        <v>0</v>
      </c>
      <c r="C9" s="199">
        <f>'Table 2'!C12</f>
        <v>0</v>
      </c>
      <c r="D9" s="199">
        <f>'Table 2'!D12</f>
        <v>0</v>
      </c>
      <c r="E9" s="199">
        <f>'Table 2'!E12</f>
        <v>3032</v>
      </c>
      <c r="F9" s="199">
        <f>'Table 2'!F12</f>
        <v>5574</v>
      </c>
      <c r="G9" s="199">
        <f>'Table 2'!G12</f>
        <v>0</v>
      </c>
      <c r="H9" s="199">
        <f>'Table 2'!H12</f>
        <v>0</v>
      </c>
      <c r="I9" s="199">
        <f>'Table 2'!I12</f>
        <v>0</v>
      </c>
      <c r="J9" s="199">
        <f>'Table 2'!J12</f>
        <v>0</v>
      </c>
      <c r="K9" s="199">
        <f>'Table 2'!K12</f>
        <v>2585</v>
      </c>
      <c r="L9" s="199">
        <f>'Table 2'!L12</f>
        <v>0</v>
      </c>
      <c r="M9" s="199">
        <f>'Table 2'!M12</f>
        <v>0</v>
      </c>
      <c r="N9" s="200">
        <f t="shared" si="0"/>
        <v>11191</v>
      </c>
      <c r="P9" s="110" t="str">
        <f t="shared" si="1"/>
        <v>FY2024</v>
      </c>
      <c r="Q9" s="199">
        <f>'Table 2'!Q12</f>
        <v>0</v>
      </c>
      <c r="R9" s="199">
        <f>'Table 2'!R12</f>
        <v>0</v>
      </c>
      <c r="S9" s="199">
        <f>'Table 2'!S12</f>
        <v>0</v>
      </c>
      <c r="T9" s="199">
        <f>'Table 2'!T12</f>
        <v>0</v>
      </c>
      <c r="U9" s="199">
        <f>'Table 2'!U12</f>
        <v>0</v>
      </c>
      <c r="V9" s="199">
        <f>'Table 2'!V12</f>
        <v>0</v>
      </c>
      <c r="W9" s="199">
        <f>'Table 2'!W12</f>
        <v>0</v>
      </c>
      <c r="X9" s="199">
        <f>'Table 2'!X12</f>
        <v>0</v>
      </c>
      <c r="Y9" s="199">
        <f>'Table 2'!Y12</f>
        <v>9217</v>
      </c>
      <c r="Z9" s="199">
        <f>'Table 2'!Z12</f>
        <v>0</v>
      </c>
      <c r="AA9" s="145">
        <f>'Table 2'!AA12</f>
        <v>9217</v>
      </c>
      <c r="AD9" s="110">
        <f t="shared" si="3"/>
        <v>2023</v>
      </c>
      <c r="AE9" s="110"/>
      <c r="AF9" s="106">
        <f t="shared" si="2"/>
        <v>1974</v>
      </c>
      <c r="AG9" s="100"/>
    </row>
    <row r="10" spans="1:33" hidden="1">
      <c r="A10" s="110" t="s">
        <v>321</v>
      </c>
      <c r="B10" s="197"/>
      <c r="C10" s="197"/>
      <c r="D10" s="197"/>
      <c r="E10" s="197"/>
      <c r="F10" s="197"/>
      <c r="G10" s="197"/>
      <c r="H10" s="197"/>
      <c r="I10" s="197"/>
      <c r="J10" s="197"/>
      <c r="K10" s="138"/>
      <c r="L10" s="138"/>
      <c r="M10" s="138"/>
      <c r="N10" s="200">
        <f t="shared" si="0"/>
        <v>0</v>
      </c>
      <c r="P10" s="110" t="str">
        <f>A10</f>
        <v>Thereafter</v>
      </c>
      <c r="Q10" s="197"/>
      <c r="R10" s="197"/>
      <c r="S10" s="145"/>
      <c r="T10" s="197"/>
      <c r="U10" s="145"/>
      <c r="V10" s="138"/>
      <c r="W10" s="197"/>
      <c r="X10" s="197"/>
      <c r="Y10" s="145"/>
      <c r="Z10" s="197"/>
      <c r="AA10" s="145"/>
      <c r="AD10" s="110" t="str">
        <f>A10</f>
        <v>Thereafter</v>
      </c>
      <c r="AE10" s="110"/>
      <c r="AF10" s="106">
        <f t="shared" si="2"/>
        <v>0</v>
      </c>
      <c r="AG10" s="100"/>
    </row>
    <row r="11" spans="1:33" ht="14.4" thickBot="1">
      <c r="A11" s="103" t="s">
        <v>62</v>
      </c>
      <c r="B11" s="202">
        <f t="shared" ref="B11:J11" si="4">SUM(B5:B9)</f>
        <v>1947</v>
      </c>
      <c r="C11" s="202">
        <f t="shared" si="4"/>
        <v>473</v>
      </c>
      <c r="D11" s="202">
        <f t="shared" si="4"/>
        <v>0</v>
      </c>
      <c r="E11" s="202"/>
      <c r="F11" s="202"/>
      <c r="G11" s="202"/>
      <c r="H11" s="202"/>
      <c r="I11" s="202">
        <f t="shared" si="4"/>
        <v>19390</v>
      </c>
      <c r="J11" s="202">
        <f t="shared" si="4"/>
        <v>3188</v>
      </c>
      <c r="K11" s="203">
        <f>SUM(K5:K9)</f>
        <v>54305</v>
      </c>
      <c r="L11" s="203">
        <f>SUM(L5:L9)</f>
        <v>0</v>
      </c>
      <c r="M11" s="203">
        <f>SUM(M5:M9)</f>
        <v>0</v>
      </c>
      <c r="N11" s="237">
        <f>SUM(N5:N9)</f>
        <v>373875</v>
      </c>
      <c r="P11" s="103" t="s">
        <v>62</v>
      </c>
      <c r="Q11" s="202">
        <f>SUM(Q5:Q9)</f>
        <v>0</v>
      </c>
      <c r="R11" s="202">
        <f>SUM(R5:R9)</f>
        <v>0</v>
      </c>
      <c r="S11" s="202">
        <f t="shared" ref="S11:AA11" si="5">SUM(S5:S9)</f>
        <v>9291</v>
      </c>
      <c r="T11" s="202">
        <f t="shared" si="5"/>
        <v>0</v>
      </c>
      <c r="U11" s="202">
        <f t="shared" si="5"/>
        <v>0</v>
      </c>
      <c r="V11" s="203">
        <f t="shared" si="5"/>
        <v>0</v>
      </c>
      <c r="W11" s="202">
        <f>SUM(W5:W9)</f>
        <v>0</v>
      </c>
      <c r="X11" s="202">
        <f>SUM(X5:X9)</f>
        <v>0</v>
      </c>
      <c r="Y11" s="202">
        <f t="shared" ref="Y11:Z11" si="6">SUM(Y5:Y9)</f>
        <v>193569</v>
      </c>
      <c r="Z11" s="202">
        <f t="shared" si="6"/>
        <v>43517</v>
      </c>
      <c r="AA11" s="237">
        <f t="shared" si="5"/>
        <v>246377</v>
      </c>
      <c r="AD11" s="100" t="s">
        <v>62</v>
      </c>
      <c r="AE11" s="100"/>
      <c r="AF11" s="330">
        <f>SUM(AF5:AF10)</f>
        <v>127498</v>
      </c>
      <c r="AG11" s="100"/>
    </row>
    <row r="12" spans="1:33" ht="8.4" customHeight="1" thickTop="1">
      <c r="C12" s="145"/>
      <c r="D12" s="145"/>
      <c r="E12" s="145"/>
      <c r="F12" s="145"/>
      <c r="G12" s="145"/>
      <c r="H12" s="145"/>
      <c r="I12" s="145"/>
      <c r="J12" s="145"/>
      <c r="K12" s="145"/>
      <c r="L12" s="145"/>
      <c r="M12" s="145"/>
      <c r="Q12" s="156"/>
      <c r="R12" s="155"/>
      <c r="S12" s="156"/>
      <c r="T12" s="145"/>
      <c r="U12" s="145"/>
      <c r="V12" s="145"/>
      <c r="W12" s="156"/>
      <c r="X12" s="155"/>
      <c r="Y12" s="156"/>
      <c r="Z12" s="145"/>
      <c r="AD12" s="100"/>
      <c r="AE12" s="100"/>
      <c r="AF12" s="100"/>
      <c r="AG12" s="100"/>
    </row>
    <row r="13" spans="1:33">
      <c r="AD13" s="100"/>
      <c r="AE13" s="100"/>
      <c r="AF13" s="100"/>
      <c r="AG13" s="100"/>
    </row>
    <row r="15" spans="1:33">
      <c r="K15" s="150"/>
      <c r="L15" s="150"/>
      <c r="M15" s="150"/>
      <c r="N15" s="145"/>
    </row>
    <row r="17" spans="11:32">
      <c r="K17" s="150"/>
      <c r="L17" s="150"/>
      <c r="M17" s="150"/>
      <c r="N17" s="145"/>
      <c r="AF17" s="234">
        <f>N11-AA11-'State Schedule'!D34+'State Schedule'!C32</f>
        <v>0</v>
      </c>
    </row>
    <row r="18" spans="11:32">
      <c r="K18" s="150"/>
      <c r="L18" s="150"/>
      <c r="M18" s="150"/>
      <c r="N18" s="145"/>
    </row>
    <row r="19" spans="11:32">
      <c r="N19" s="145"/>
      <c r="O19" s="151"/>
    </row>
    <row r="21" spans="11:32" s="111" customFormat="1"/>
    <row r="34" spans="11:14">
      <c r="K34" s="150"/>
      <c r="L34" s="150"/>
      <c r="M34" s="150"/>
      <c r="N34" s="145"/>
    </row>
    <row r="35" spans="11:14">
      <c r="K35" s="150"/>
      <c r="L35" s="150"/>
      <c r="M35" s="150"/>
      <c r="N35" s="145"/>
    </row>
    <row r="37" spans="11:14">
      <c r="K37" s="150"/>
      <c r="L37" s="150"/>
      <c r="M37" s="150"/>
      <c r="N37" s="145"/>
    </row>
    <row r="38" spans="11:14">
      <c r="K38" s="150"/>
      <c r="L38" s="150"/>
      <c r="M38" s="150"/>
      <c r="N38" s="145"/>
    </row>
    <row r="39" spans="11:14">
      <c r="K39" s="150"/>
      <c r="L39" s="150"/>
      <c r="M39" s="150"/>
      <c r="N39" s="145"/>
    </row>
    <row r="40" spans="11:14">
      <c r="N40" s="145"/>
    </row>
    <row r="41" spans="11:14">
      <c r="N41" s="145"/>
    </row>
    <row r="43" spans="11:14">
      <c r="N43" s="145"/>
    </row>
    <row r="44" spans="11:14">
      <c r="N44" s="145"/>
    </row>
    <row r="48" spans="11:14">
      <c r="N48" s="145"/>
    </row>
    <row r="49" spans="14:14">
      <c r="N49" s="145"/>
    </row>
    <row r="50" spans="14:14">
      <c r="N50" s="145"/>
    </row>
  </sheetData>
  <mergeCells count="10">
    <mergeCell ref="P1:AA1"/>
    <mergeCell ref="A1:N1"/>
    <mergeCell ref="C2:D2"/>
    <mergeCell ref="G2:H2"/>
    <mergeCell ref="I2:J2"/>
    <mergeCell ref="K2:L2"/>
    <mergeCell ref="R2:S2"/>
    <mergeCell ref="T2:U2"/>
    <mergeCell ref="V2:W2"/>
    <mergeCell ref="X2:Y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
  <sheetViews>
    <sheetView workbookViewId="0">
      <selection activeCell="L30" sqref="L30"/>
    </sheetView>
  </sheetViews>
  <sheetFormatPr defaultColWidth="9.109375" defaultRowHeight="15.6"/>
  <cols>
    <col min="1" max="1" width="19.44140625" style="339" customWidth="1"/>
    <col min="2" max="2" width="11.109375" style="339" customWidth="1"/>
    <col min="3" max="3" width="3.5546875" style="339" customWidth="1"/>
    <col min="4" max="4" width="20.5546875" style="339" customWidth="1"/>
    <col min="5" max="5" width="3.5546875" style="339" customWidth="1"/>
    <col min="6" max="6" width="20.5546875" style="339" customWidth="1"/>
    <col min="7" max="7" width="3.5546875" style="339" customWidth="1"/>
    <col min="8" max="8" width="20.5546875" style="339" customWidth="1"/>
    <col min="9" max="10" width="9.109375" style="339" customWidth="1"/>
    <col min="11" max="16384" width="9.109375" style="340"/>
  </cols>
  <sheetData>
    <row r="1" spans="1:9">
      <c r="A1" s="336"/>
      <c r="B1" s="336"/>
      <c r="C1" s="336"/>
      <c r="D1" s="337" t="s">
        <v>402</v>
      </c>
      <c r="E1" s="338"/>
      <c r="F1" s="337" t="s">
        <v>403</v>
      </c>
      <c r="G1" s="338"/>
      <c r="H1" s="337" t="s">
        <v>404</v>
      </c>
      <c r="I1" s="336"/>
    </row>
    <row r="2" spans="1:9">
      <c r="A2" s="362" t="s">
        <v>405</v>
      </c>
      <c r="B2" s="363"/>
      <c r="C2" s="336"/>
      <c r="D2" s="336"/>
      <c r="E2" s="336"/>
      <c r="F2" s="336"/>
      <c r="G2" s="336"/>
      <c r="H2" s="336"/>
      <c r="I2" s="336"/>
    </row>
    <row r="3" spans="1:9">
      <c r="A3" s="363"/>
      <c r="B3" s="363"/>
      <c r="C3" s="336"/>
      <c r="D3" s="341">
        <f>'State Schedule'!D14</f>
        <v>1637727</v>
      </c>
      <c r="E3" s="336"/>
      <c r="F3" s="341">
        <f>'State Schedule'!D13</f>
        <v>979977</v>
      </c>
      <c r="G3" s="336"/>
      <c r="H3" s="341">
        <f>'State Schedule'!D15</f>
        <v>437059</v>
      </c>
      <c r="I3" s="336"/>
    </row>
    <row r="4" spans="1:9" ht="12" customHeight="1">
      <c r="A4" s="336"/>
      <c r="B4" s="336"/>
      <c r="C4" s="336"/>
      <c r="D4" s="336"/>
      <c r="E4" s="336"/>
      <c r="F4" s="336"/>
      <c r="G4" s="336"/>
      <c r="H4" s="336"/>
      <c r="I4" s="336"/>
    </row>
  </sheetData>
  <mergeCells count="1">
    <mergeCell ref="A2:B3"/>
  </mergeCells>
  <pageMargins left="0.7" right="0.7" top="0.75" bottom="0.75" header="0.3" footer="0.3"/>
  <pageSetup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FY19 Entries</vt:lpstr>
      <vt:lpstr>State Schedule</vt:lpstr>
      <vt:lpstr>From PERS</vt:lpstr>
      <vt:lpstr>Change in proportionate Share</vt:lpstr>
      <vt:lpstr>Table 1</vt:lpstr>
      <vt:lpstr>Table 2</vt:lpstr>
      <vt:lpstr>Table 2 FS Ready</vt:lpstr>
      <vt:lpstr>Table 5</vt:lpstr>
      <vt:lpstr>Table 3</vt:lpstr>
      <vt:lpstr>Table 4</vt:lpstr>
      <vt:lpstr>Table 6</vt:lpstr>
      <vt:lpstr>RSI Schedule of Prop Share</vt:lpstr>
      <vt:lpstr>RSI Schedule of Cont</vt:lpstr>
      <vt:lpstr>'Change in proportionate Share'!Print_Area</vt:lpstr>
      <vt:lpstr>'From PERS'!Print_Area</vt:lpstr>
      <vt:lpstr>'FY19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Tonna Hollis</dc:creator>
  <cp:lastModifiedBy>Tonna Hollis</cp:lastModifiedBy>
  <cp:lastPrinted>2018-09-02T00:26:52Z</cp:lastPrinted>
  <dcterms:created xsi:type="dcterms:W3CDTF">2015-09-24T19:59:11Z</dcterms:created>
  <dcterms:modified xsi:type="dcterms:W3CDTF">2023-10-16T01:16:12Z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Klamath Falls</vt:lpwstr>
  </property>
  <property fmtid="{D5CDD505-2E9C-101B-9397-08002B2CF9AE}" pid="4" name="PPC_Template_Engagement_Date">
    <vt:lpwstr>6/30/2016</vt:lpwstr>
  </property>
</Properties>
</file>